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9690" tabRatio="853" activeTab="0"/>
  </bookViews>
  <sheets>
    <sheet name="Front page" sheetId="1" r:id="rId1"/>
    <sheet name="Introduction and Summary" sheetId="2" r:id="rId2"/>
    <sheet name="Planting Cost and Info" sheetId="3" r:id="rId3"/>
    <sheet name="Employment" sheetId="4" r:id="rId4"/>
    <sheet name="Nursery" sheetId="5" r:id="rId5"/>
    <sheet name="Management Flow Chart" sheetId="6" r:id="rId6"/>
  </sheets>
  <definedNames>
    <definedName name="_xlnm.Print_Area" localSheetId="3">'Employment'!$A$1:$N$50</definedName>
    <definedName name="_xlnm.Print_Area" localSheetId="0">'Front page'!$A$1:$A$33</definedName>
    <definedName name="_xlnm.Print_Area" localSheetId="4">'Nursery'!$A$1:$N$29</definedName>
    <definedName name="_xlnm.Print_Area" localSheetId="2">'Planting Cost and Info'!$A$1:$N$56</definedName>
  </definedNames>
  <calcPr fullCalcOnLoad="1"/>
</workbook>
</file>

<file path=xl/comments2.xml><?xml version="1.0" encoding="utf-8"?>
<comments xmlns="http://schemas.openxmlformats.org/spreadsheetml/2006/main">
  <authors>
    <author>PieterHoff</author>
  </authors>
  <commentList>
    <comment ref="C23"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 xml:space="preserve">This is based on a tractor of 60K plus machine of 40K making 1 hole a time, plus energy, using it 6 years. If it is a 3-drill, price will drop to 6 cents excl. wages
</t>
        </r>
        <r>
          <rPr>
            <sz val="9"/>
            <color indexed="8"/>
            <rFont val="Tahoma"/>
            <family val="2"/>
          </rPr>
          <t xml:space="preserve">
</t>
        </r>
      </text>
    </comment>
    <comment ref="A31" authorId="0">
      <text>
        <r>
          <rPr>
            <b/>
            <sz val="9"/>
            <color indexed="8"/>
            <rFont val="Tahoma"/>
            <family val="2"/>
          </rPr>
          <t xml:space="preserve">This is based on a tractor with one drill, with 3 drills the price would drop to 10 cents
</t>
        </r>
      </text>
    </comment>
  </commentList>
</comments>
</file>

<file path=xl/sharedStrings.xml><?xml version="1.0" encoding="utf-8"?>
<sst xmlns="http://schemas.openxmlformats.org/spreadsheetml/2006/main" count="249" uniqueCount="182">
  <si>
    <t>This document is a template with general assumptions.</t>
  </si>
  <si>
    <t>Please fine tune the assumptions so that the shown figures are correct for your specific project</t>
  </si>
  <si>
    <t>Pieter Hoff</t>
  </si>
  <si>
    <t>phoff@groasis.com</t>
  </si>
  <si>
    <t>© Wout Hoff - this model is the intellectual property of Groasis - Holland</t>
  </si>
  <si>
    <t xml:space="preserve">                                      </t>
  </si>
  <si>
    <t>Project Introduction:</t>
  </si>
  <si>
    <t>Project Summary:</t>
  </si>
  <si>
    <t>PLEASE FILL OUT THE SIZE OF YOUR PROJECT</t>
  </si>
  <si>
    <t>ha</t>
  </si>
  <si>
    <t>Note: Change number of hectares according to your needs, and the calculations will change accordingly</t>
  </si>
  <si>
    <t>PLEASE FILL OUT THE DURATION OF YOUR PROJECT</t>
  </si>
  <si>
    <t>years</t>
  </si>
  <si>
    <t>Note: Change number of years you want to plant according to your needs, and the calculations will change accordingly</t>
  </si>
  <si>
    <t>PLEASE FILL OUT THE GROSS WAGE OF ONE PLANTER PER HOUR</t>
  </si>
  <si>
    <t>US$</t>
  </si>
  <si>
    <t>Note: Change hourly wage according to your practical situation, and the calculations will change accordingly</t>
  </si>
  <si>
    <t>Note: You plant two trees per box, so if you want 600 trees per hectare, you need 300 boxes only</t>
  </si>
  <si>
    <t>Note: Reduce 52 weeks of the year with weeks you don't plant (e.g. holidays, religious periods, etc.) and fill out the left over weeks</t>
  </si>
  <si>
    <t>Project planting speed in hectares per week</t>
  </si>
  <si>
    <t>ha/week</t>
  </si>
  <si>
    <t>Annual investment</t>
  </si>
  <si>
    <t>mUS$</t>
  </si>
  <si>
    <t>Investment per hectare</t>
  </si>
  <si>
    <t>staff/year</t>
  </si>
  <si>
    <t>Nursery size</t>
  </si>
  <si>
    <t>m2</t>
  </si>
  <si>
    <t>Number of trees alive at project completion</t>
  </si>
  <si>
    <t>Project planting investment</t>
  </si>
  <si>
    <t>Guidance Notes:</t>
  </si>
  <si>
    <t>Please only change the values in light yellow cells:</t>
  </si>
  <si>
    <t>INPUT</t>
  </si>
  <si>
    <t>Units</t>
  </si>
  <si>
    <t>Single value</t>
  </si>
  <si>
    <t>Project size</t>
  </si>
  <si>
    <t>Planting duration</t>
  </si>
  <si>
    <t>Cleaning costs per ha (weeds/invasive species)</t>
  </si>
  <si>
    <t>Total cleaning costs per ha</t>
  </si>
  <si>
    <t>Select value from drop down list</t>
  </si>
  <si>
    <t>Number of trees planted</t>
  </si>
  <si>
    <t>Select value from drop down list - if planting 2 varieties, split assumed 50%-50%</t>
  </si>
  <si>
    <t>Price of variety 1</t>
  </si>
  <si>
    <t>This includes the cost of the nursery if grown locally</t>
  </si>
  <si>
    <t>Price of variety 2</t>
  </si>
  <si>
    <t>Cost of trees per ha</t>
  </si>
  <si>
    <t>Expected survival rate</t>
  </si>
  <si>
    <t>%</t>
  </si>
  <si>
    <t>Number of surviving trees per ha</t>
  </si>
  <si>
    <t>Number of m2 per surviving tree</t>
  </si>
  <si>
    <t xml:space="preserve">Important note: add the price of your offer. The filled out price is not a market price, as the price depends on the numbers </t>
  </si>
  <si>
    <t>Number of planting holes drilled per ha</t>
  </si>
  <si>
    <t>Cost of machinery of drilling per planting hole</t>
  </si>
  <si>
    <t>Drilling costs wages per planting hole</t>
  </si>
  <si>
    <t>Cost of drilling planting holes per ha</t>
  </si>
  <si>
    <t>Housing, food, transport, medical care for the personnel, etc., estimated per box</t>
  </si>
  <si>
    <t>Cost of planting per ha</t>
  </si>
  <si>
    <t>liter</t>
  </si>
  <si>
    <t>Note: in dry circumstances you have to fill the planting holes with 20 to 40 liters of water, one day before planting. After the planting you fill the middle opening of the Groasis Waterboxx with 4 liters and the Groasis Waterboxx itself with 16 liters</t>
  </si>
  <si>
    <t>Cost of water per liter incl. logistics</t>
  </si>
  <si>
    <t>Cost of water per ha incl. logistics</t>
  </si>
  <si>
    <t>Water giving</t>
  </si>
  <si>
    <t>Cost of management and organization per ha</t>
  </si>
  <si>
    <t>Unforeseen</t>
  </si>
  <si>
    <t>Unforeseen cost estimate per ha</t>
  </si>
  <si>
    <t>US$/ha</t>
  </si>
  <si>
    <t>Total estimated planting cost</t>
  </si>
  <si>
    <t>US$/tree</t>
  </si>
  <si>
    <t>This page describes how to organize this project and provides an overview of employment generated</t>
  </si>
  <si>
    <t>Area planted per annum</t>
  </si>
  <si>
    <t>Number of planting weeks</t>
  </si>
  <si>
    <t>weeks</t>
  </si>
  <si>
    <t>Area planted per week</t>
  </si>
  <si>
    <t>Number of trees per week</t>
  </si>
  <si>
    <t>Number of working days per week</t>
  </si>
  <si>
    <t>days</t>
  </si>
  <si>
    <t>Length of a working shift</t>
  </si>
  <si>
    <t>hours</t>
  </si>
  <si>
    <t>Number of hours per day of drilling holes</t>
  </si>
  <si>
    <t>Number of holes drilled per hour</t>
  </si>
  <si>
    <t>Number of holes drilled per day per drill</t>
  </si>
  <si>
    <t>Number of drills needed for planting holes</t>
  </si>
  <si>
    <t>Number of drill drivers needed</t>
  </si>
  <si>
    <t>Number of planters needed</t>
  </si>
  <si>
    <t>Internal transport while planting</t>
  </si>
  <si>
    <t>Water gift while planting</t>
  </si>
  <si>
    <t>Cleaning time per ha (weeds/invasive species)</t>
  </si>
  <si>
    <t>Number of hectares to be cleaned per day</t>
  </si>
  <si>
    <t>Number of cleaners needed</t>
  </si>
  <si>
    <t>Unforeseen labor estimate</t>
  </si>
  <si>
    <t>Housing costs per laborer per day</t>
  </si>
  <si>
    <t>Management</t>
  </si>
  <si>
    <t>Total laborers needed for project planting incl. management</t>
  </si>
  <si>
    <t>This pages describes the size of the nursery you need in order to produce the young trees/bushes prior to planting them.</t>
  </si>
  <si>
    <t>Minimum plant age before planting in Groasis Greenboxxes</t>
  </si>
  <si>
    <t>Plant density in nursery, first part of nursery time, polystyrene trays</t>
  </si>
  <si>
    <t>plants/gross m2</t>
  </si>
  <si>
    <t>Plant density in nursery, remaining weeks, polystyrene trays</t>
  </si>
  <si>
    <t>Nursery time in weeks with 800 plants per m2</t>
  </si>
  <si>
    <t>Net number of plants required per week</t>
  </si>
  <si>
    <t>Plant loss during production in nursery</t>
  </si>
  <si>
    <t>Gross number of plants required per week</t>
  </si>
  <si>
    <t>Gross size for first one week output</t>
  </si>
  <si>
    <t>Total gross size for output requirements, first period of production</t>
  </si>
  <si>
    <t>Gross size per week for remaining weeks</t>
  </si>
  <si>
    <t>Total gross size for output requirements, last period of production</t>
  </si>
  <si>
    <t>Total needed nursery size (net area)</t>
  </si>
  <si>
    <t>Percentage of unused area in greenhouse (paths)</t>
  </si>
  <si>
    <t>Total needed nursery size (gross area)</t>
  </si>
  <si>
    <t>Note: it is assumed that the production costs of the nursery and equipment are included in the cost price of young trees (see tab 'Planting Cost and Info').</t>
  </si>
  <si>
    <t>Input</t>
  </si>
  <si>
    <t>Number</t>
  </si>
  <si>
    <t>Annual salary</t>
  </si>
  <si>
    <t>Total</t>
  </si>
  <si>
    <t>Officecosts</t>
  </si>
  <si>
    <t>General manager</t>
  </si>
  <si>
    <t>Financial manager</t>
  </si>
  <si>
    <t>Marketing and sales</t>
  </si>
  <si>
    <t>Human resources</t>
  </si>
  <si>
    <t>Assistant general manager</t>
  </si>
  <si>
    <t>Quality control</t>
  </si>
  <si>
    <t>Communication</t>
  </si>
  <si>
    <t>Nursery</t>
  </si>
  <si>
    <t>Forestry</t>
  </si>
  <si>
    <t>Logistics</t>
  </si>
  <si>
    <t>Mechanics</t>
  </si>
  <si>
    <t>Food &amp; Health</t>
  </si>
  <si>
    <t>Security</t>
  </si>
  <si>
    <t>Doctor</t>
  </si>
  <si>
    <t>Legal</t>
  </si>
  <si>
    <t>Supporting personnel</t>
  </si>
  <si>
    <t>Subtotal</t>
  </si>
  <si>
    <t>Total management costs</t>
  </si>
  <si>
    <t>bought, duties, VAT, transport and other costs. These costs can vary per country.</t>
  </si>
  <si>
    <t>Note: if the project period is shorter than one year, you have to divide the result by 52 and multiply with the number of weeks that the project takes</t>
  </si>
  <si>
    <t>Cost of protection against animals per ha</t>
  </si>
  <si>
    <t>Safety costs / protection of the area</t>
  </si>
  <si>
    <t>Total safety and protection costs</t>
  </si>
  <si>
    <t>Total CO₂ reduction in tonnes per year</t>
  </si>
  <si>
    <t>Price per tonne CO₂ reduction during planting period</t>
  </si>
  <si>
    <t xml:space="preserve">Water need per box </t>
  </si>
  <si>
    <t>Protection of trees against animals with Growsafe Telescoprotexx</t>
  </si>
  <si>
    <t>This page describes the management costs</t>
  </si>
  <si>
    <t>for the Treesolution</t>
  </si>
  <si>
    <t>Note: this is a simplified model to give a quick survey of the estimated costs associated with a tree planting project in deserts, eroded or rocky areas when using the Groasis Growboxx plantcocoon®. The model does not aim to be a full representation of the implications.</t>
  </si>
  <si>
    <t>PLEASE FILL OUT THE NUMBER OF GROWBOXX PLANTCOCOON® PER HA</t>
  </si>
  <si>
    <t>Number of trees per Groasis Growboxx plantcocoon®</t>
  </si>
  <si>
    <t>Number of varieties planted per Groasis Growboxx plantcocoon®</t>
  </si>
  <si>
    <t>Total cost per Groasis Growboxx plantcocoon®</t>
  </si>
  <si>
    <t>Planting costs wages per Groasis Growboxx plantcocoon®</t>
  </si>
  <si>
    <t>Cost of Groasis Growboxx plantcocoon® per ha</t>
  </si>
  <si>
    <t>Number of Groasis Growboxxes plantcocoons® / planting holes per ha</t>
  </si>
  <si>
    <t>Number of Groasis Growboxxes plantcocoons® per week</t>
  </si>
  <si>
    <t>Number of Groasis Growboxxes plantcocoons® per working day</t>
  </si>
  <si>
    <t>Number of Groasis Growboxxes plantcocoons® assembled and planted per man per hour</t>
  </si>
  <si>
    <t>Number of Groasis Growboxxes plantcocoons® planted per working shift</t>
  </si>
  <si>
    <t>Internal transport of Groasis Growboxxes plantcocoons® and plants per man hour</t>
  </si>
  <si>
    <t>Number of planting holes and Groasis Growboxxes plantcocoons®  water gift per man hour</t>
  </si>
  <si>
    <t>to</t>
  </si>
  <si>
    <t>Using the</t>
  </si>
  <si>
    <t>The `HOLLAND ZERO CARBON` Project.</t>
  </si>
  <si>
    <t>The Groasis Growboxx plantcocoon® is an innovative biodegradable disposable device made of cellulose that helps you plant trees and bushes without using irrigation.</t>
  </si>
  <si>
    <t>PLEASE FILL OUT HOW MANY WEEKS PER YEAR YOU WILL PLANT</t>
  </si>
  <si>
    <t>Average CO₂ reduction per hectare in tonnes per year</t>
  </si>
  <si>
    <t>Total CO₂ reduction in tonnes over 50 year period after planting</t>
  </si>
  <si>
    <t>disposable &amp; biodegradable Groasis Growboxx plantcocoon®</t>
  </si>
  <si>
    <t>Creating wealth for everybody</t>
  </si>
  <si>
    <t>This page describes the process of planting the desert area with Groasis Growboxx plantcocoons®.</t>
  </si>
  <si>
    <t>All values in USD</t>
  </si>
  <si>
    <t>Standard the management costs are calculated per 10.000 hectares</t>
  </si>
  <si>
    <t>Price per tonne CO₂ reduction during all period (10 yrs planting period plus 50 years)</t>
  </si>
  <si>
    <t xml:space="preserve">     Note: in this calculation we have only looked at costs of planting. If we would look at sales of the planted trees, the costs to neutralize CO₂ would be zero, since the trees would generate more money than the investment to plant them.</t>
  </si>
  <si>
    <r>
      <t xml:space="preserve">     Note: at http://tinyurl.com/ky9guk2 you can find the publication of the University of Stuttgart that claims that Jatropha disconnects 25 tones of CO</t>
    </r>
    <r>
      <rPr>
        <sz val="11"/>
        <color indexed="8"/>
        <rFont val="Calibri"/>
        <family val="2"/>
      </rPr>
      <t>₂</t>
    </r>
    <r>
      <rPr>
        <i/>
        <sz val="11"/>
        <color indexed="8"/>
        <rFont val="Calibri"/>
        <family val="2"/>
      </rPr>
      <t xml:space="preserve"> per hectare</t>
    </r>
  </si>
  <si>
    <t xml:space="preserve">     Note: this disconnected quantity is equal to the annual emission of CO₂ generated by The Netherlands</t>
  </si>
  <si>
    <t>and make the Netherlands the first 0% CO₂ polluter.</t>
  </si>
  <si>
    <r>
      <t xml:space="preserve">                                                         </t>
    </r>
    <r>
      <rPr>
        <b/>
        <i/>
        <sz val="11"/>
        <color indexed="9"/>
        <rFont val="Calibri"/>
        <family val="2"/>
      </rPr>
      <t>make wasteland productive again</t>
    </r>
  </si>
  <si>
    <t>create one job per hectare of fruit =15 million jobs in Africa;</t>
  </si>
  <si>
    <t>plant 15 million hectares of fruit trees in Africa;</t>
  </si>
  <si>
    <t>create tens of thousands of jobs in Holland;</t>
  </si>
  <si>
    <t xml:space="preserve">    Note: this number only involves the planting</t>
  </si>
  <si>
    <t>Total employment generated while planting</t>
  </si>
  <si>
    <t>New jobs in Africa - one per hectare for maintenance and harvest of fruit</t>
  </si>
  <si>
    <t xml:space="preserve">    Note: production of fruit generates 'one direct /indirect job' per hectare</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</si>
</sst>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 numFmtId="173" formatCode="_-* #,##0.00_-;\-* #,##0.00_-;_-* \-??_-;_-@_-"/>
    <numFmt numFmtId="174" formatCode="_-* #,##0_-;\-* #,##0_-;_-* \-??_-;_-@_-"/>
    <numFmt numFmtId="175" formatCode="_-* #,##0.0_-;\-* #,##0.0_-;_-* \-??_-;_-@_-"/>
    <numFmt numFmtId="176" formatCode="0.0000000"/>
    <numFmt numFmtId="177" formatCode="0.000000"/>
    <numFmt numFmtId="178" formatCode="0.00000"/>
    <numFmt numFmtId="179" formatCode="0.0000"/>
    <numFmt numFmtId="180" formatCode="0.000"/>
    <numFmt numFmtId="181" formatCode="0.0"/>
    <numFmt numFmtId="182" formatCode="_-* #,##0.000_-;\-* #,##0.000_-;_-* \-??_-;_-@_-"/>
    <numFmt numFmtId="183" formatCode="_-* #,##0.0000_-;\-* #,##0.0000_-;_-* \-??_-;_-@_-"/>
    <numFmt numFmtId="184" formatCode="_-* #,##0.00000_-;\-* #,##0.00000_-;_-* \-??_-;_-@_-"/>
    <numFmt numFmtId="185" formatCode="_-* #,##0.000000_-;\-* #,##0.000000_-;_-* \-??_-;_-@_-"/>
    <numFmt numFmtId="186" formatCode="_-* #,##0.0000000_-;\-* #,##0.0000000_-;_-* \-??_-;_-@_-"/>
    <numFmt numFmtId="187" formatCode="_-* #,##0.00000000_-;\-* #,##0.00000000_-;_-* \-??_-;_-@_-"/>
    <numFmt numFmtId="188" formatCode="&quot;Ja&quot;;&quot;Ja&quot;;&quot;Nee&quot;"/>
    <numFmt numFmtId="189" formatCode="&quot;Waar&quot;;&quot;Waar&quot;;&quot;Niet waar&quot;"/>
    <numFmt numFmtId="190" formatCode="&quot;Aan&quot;;&quot;Aan&quot;;&quot;Uit&quot;"/>
    <numFmt numFmtId="191" formatCode="[$€-2]\ #.##000_);[Red]\([$€-2]\ #.##000\)"/>
  </numFmts>
  <fonts count="65">
    <font>
      <sz val="11"/>
      <color indexed="8"/>
      <name val="Calibri"/>
      <family val="2"/>
    </font>
    <font>
      <sz val="10"/>
      <name val="Arial"/>
      <family val="0"/>
    </font>
    <font>
      <sz val="10"/>
      <name val="Calibri"/>
      <family val="2"/>
    </font>
    <font>
      <i/>
      <sz val="18"/>
      <name val="Calibri"/>
      <family val="2"/>
    </font>
    <font>
      <b/>
      <i/>
      <sz val="20"/>
      <color indexed="9"/>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i/>
      <sz val="11"/>
      <name val="Calibri"/>
      <family val="2"/>
    </font>
    <font>
      <sz val="11"/>
      <name val="Calibri"/>
      <family val="2"/>
    </font>
    <font>
      <b/>
      <sz val="9"/>
      <color indexed="8"/>
      <name val="Tahoma"/>
      <family val="2"/>
    </font>
    <font>
      <sz val="9"/>
      <color indexed="8"/>
      <name val="Tahoma"/>
      <family val="2"/>
    </font>
    <font>
      <b/>
      <sz val="11"/>
      <color indexed="8"/>
      <name val="Calibri"/>
      <family val="2"/>
    </font>
    <font>
      <sz val="9"/>
      <name val="Tahoma"/>
      <family val="2"/>
    </font>
    <font>
      <b/>
      <sz val="9"/>
      <name val="Tahoma"/>
      <family val="2"/>
    </font>
    <font>
      <b/>
      <i/>
      <sz val="18"/>
      <color indexed="9"/>
      <name val="Calibri"/>
      <family val="2"/>
    </font>
    <font>
      <b/>
      <i/>
      <u val="single"/>
      <sz val="18"/>
      <color indexed="9"/>
      <name val="Calibri"/>
      <family val="2"/>
    </font>
    <font>
      <b/>
      <i/>
      <sz val="11"/>
      <color indexed="9"/>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i/>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b/>
      <i/>
      <u val="single"/>
      <sz val="18"/>
      <color theme="0"/>
      <name val="Calibri"/>
      <family val="2"/>
    </font>
    <font>
      <i/>
      <sz val="11"/>
      <color rgb="FFFF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color indexed="8"/>
      </right>
      <top style="medium"/>
      <bottom style="medium">
        <color indexed="8"/>
      </bottom>
    </border>
    <border>
      <left>
        <color indexed="63"/>
      </left>
      <right>
        <color indexed="63"/>
      </right>
      <top style="medium"/>
      <bottom>
        <color indexed="63"/>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9" fillId="0" borderId="0" applyNumberFormat="0" applyFill="0" applyBorder="0" applyAlignment="0" applyProtection="0"/>
    <xf numFmtId="0" fontId="50" fillId="29" borderId="1" applyNumberFormat="0" applyAlignment="0" applyProtection="0"/>
    <xf numFmtId="173" fontId="0" fillId="0" borderId="0" applyFill="0" applyBorder="0" applyAlignment="0" applyProtection="0"/>
    <xf numFmtId="41" fontId="1" fillId="0" borderId="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1" fillId="0" borderId="0">
      <alignment/>
      <protection/>
    </xf>
    <xf numFmtId="0" fontId="0" fillId="31" borderId="7" applyNumberFormat="0" applyFont="0" applyAlignment="0" applyProtection="0"/>
    <xf numFmtId="0" fontId="55" fillId="32" borderId="0" applyNumberFormat="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18">
    <xf numFmtId="0" fontId="0" fillId="0" borderId="0" xfId="0" applyAlignment="1">
      <alignment/>
    </xf>
    <xf numFmtId="0" fontId="1" fillId="33" borderId="0" xfId="53" applyFill="1">
      <alignment/>
      <protection/>
    </xf>
    <xf numFmtId="0" fontId="2" fillId="33" borderId="0" xfId="53" applyFont="1" applyFill="1" applyAlignment="1">
      <alignment horizontal="center"/>
      <protection/>
    </xf>
    <xf numFmtId="0" fontId="3" fillId="33" borderId="0" xfId="53" applyFont="1" applyFill="1" applyAlignment="1">
      <alignment horizontal="center"/>
      <protection/>
    </xf>
    <xf numFmtId="0" fontId="5" fillId="34" borderId="0" xfId="53" applyFont="1" applyFill="1" applyAlignment="1">
      <alignment horizontal="center" wrapText="1"/>
      <protection/>
    </xf>
    <xf numFmtId="0" fontId="5" fillId="33" borderId="0" xfId="53" applyFont="1" applyFill="1" applyAlignment="1">
      <alignment horizontal="center"/>
      <protection/>
    </xf>
    <xf numFmtId="0" fontId="8" fillId="33" borderId="0" xfId="53" applyFont="1" applyFill="1" applyAlignment="1">
      <alignment horizontal="center"/>
      <protection/>
    </xf>
    <xf numFmtId="0" fontId="9" fillId="33" borderId="0" xfId="44" applyNumberFormat="1" applyFont="1" applyFill="1" applyBorder="1" applyAlignment="1" applyProtection="1">
      <alignment horizontal="center"/>
      <protection/>
    </xf>
    <xf numFmtId="0" fontId="10" fillId="33" borderId="0" xfId="53"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1" fillId="0" borderId="0" xfId="0" applyFont="1" applyBorder="1" applyAlignment="1">
      <alignment/>
    </xf>
    <xf numFmtId="0" fontId="11" fillId="0" borderId="0" xfId="0" applyFont="1" applyAlignment="1">
      <alignment/>
    </xf>
    <xf numFmtId="0" fontId="12" fillId="0" borderId="0" xfId="0" applyFont="1" applyAlignment="1">
      <alignment/>
    </xf>
    <xf numFmtId="0" fontId="0" fillId="0" borderId="0" xfId="0" applyFill="1" applyBorder="1" applyAlignment="1">
      <alignment/>
    </xf>
    <xf numFmtId="174" fontId="0" fillId="0" borderId="0" xfId="46" applyNumberFormat="1" applyFont="1" applyFill="1" applyBorder="1" applyAlignment="1" applyProtection="1">
      <alignment/>
      <protection/>
    </xf>
    <xf numFmtId="0" fontId="0" fillId="0" borderId="0" xfId="0" applyFill="1" applyAlignment="1">
      <alignment/>
    </xf>
    <xf numFmtId="0" fontId="0" fillId="36" borderId="10" xfId="0" applyFill="1" applyBorder="1" applyAlignment="1">
      <alignment/>
    </xf>
    <xf numFmtId="0" fontId="10" fillId="35" borderId="0" xfId="0" applyFont="1" applyFill="1" applyAlignment="1">
      <alignment/>
    </xf>
    <xf numFmtId="0" fontId="10" fillId="35" borderId="0" xfId="0" applyFont="1" applyFill="1" applyAlignment="1">
      <alignment horizontal="center"/>
    </xf>
    <xf numFmtId="0" fontId="10" fillId="35" borderId="0" xfId="0" applyFont="1" applyFill="1" applyBorder="1" applyAlignment="1">
      <alignment horizontal="center"/>
    </xf>
    <xf numFmtId="0" fontId="13" fillId="0" borderId="0" xfId="0" applyFont="1" applyAlignment="1">
      <alignment/>
    </xf>
    <xf numFmtId="1" fontId="13" fillId="0" borderId="0" xfId="0" applyNumberFormat="1" applyFont="1" applyAlignment="1">
      <alignment/>
    </xf>
    <xf numFmtId="0" fontId="0" fillId="36" borderId="0" xfId="0" applyFill="1" applyAlignment="1">
      <alignment/>
    </xf>
    <xf numFmtId="0" fontId="14" fillId="0" borderId="0" xfId="0" applyFont="1" applyAlignment="1">
      <alignment/>
    </xf>
    <xf numFmtId="0" fontId="0" fillId="0" borderId="0" xfId="0" applyFont="1" applyAlignment="1">
      <alignment/>
    </xf>
    <xf numFmtId="2" fontId="0" fillId="36" borderId="0" xfId="0" applyNumberFormat="1" applyFill="1" applyAlignment="1">
      <alignment/>
    </xf>
    <xf numFmtId="9" fontId="0" fillId="36" borderId="0" xfId="0" applyNumberFormat="1" applyFill="1" applyAlignment="1">
      <alignment/>
    </xf>
    <xf numFmtId="1" fontId="0" fillId="0" borderId="0" xfId="0" applyNumberFormat="1" applyAlignment="1">
      <alignment/>
    </xf>
    <xf numFmtId="0" fontId="15" fillId="0" borderId="0" xfId="0" applyFont="1" applyAlignment="1">
      <alignment/>
    </xf>
    <xf numFmtId="0" fontId="16" fillId="0" borderId="0" xfId="0" applyFont="1" applyAlignment="1">
      <alignment/>
    </xf>
    <xf numFmtId="0"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0" fontId="0" fillId="0" borderId="0" xfId="0" applyFont="1" applyAlignment="1">
      <alignment wrapText="1"/>
    </xf>
    <xf numFmtId="0" fontId="12"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174" fontId="0" fillId="0" borderId="0" xfId="0" applyNumberFormat="1" applyAlignment="1">
      <alignment/>
    </xf>
    <xf numFmtId="9" fontId="0" fillId="0" borderId="0" xfId="0" applyNumberFormat="1" applyAlignment="1">
      <alignment/>
    </xf>
    <xf numFmtId="9" fontId="0" fillId="36" borderId="0" xfId="56" applyFont="1" applyFill="1" applyBorder="1" applyAlignment="1" applyProtection="1">
      <alignment/>
      <protection/>
    </xf>
    <xf numFmtId="174" fontId="13" fillId="0" borderId="0" xfId="0" applyNumberFormat="1" applyFont="1" applyAlignment="1">
      <alignment/>
    </xf>
    <xf numFmtId="0" fontId="12" fillId="35" borderId="0" xfId="0" applyFont="1" applyFill="1" applyBorder="1" applyAlignment="1">
      <alignment/>
    </xf>
    <xf numFmtId="3" fontId="0" fillId="36" borderId="0" xfId="0" applyNumberFormat="1" applyFill="1" applyAlignment="1">
      <alignment/>
    </xf>
    <xf numFmtId="0" fontId="13" fillId="0" borderId="0" xfId="0" applyNumberFormat="1" applyFont="1" applyFill="1" applyAlignment="1">
      <alignment/>
    </xf>
    <xf numFmtId="174" fontId="0" fillId="36" borderId="11" xfId="46" applyNumberFormat="1" applyFont="1" applyFill="1" applyBorder="1" applyAlignment="1" applyProtection="1">
      <alignment/>
      <protection/>
    </xf>
    <xf numFmtId="0" fontId="11" fillId="37" borderId="0" xfId="0" applyFont="1" applyFill="1" applyAlignment="1">
      <alignment/>
    </xf>
    <xf numFmtId="174" fontId="11" fillId="37" borderId="0" xfId="46" applyNumberFormat="1" applyFont="1" applyFill="1" applyBorder="1" applyAlignment="1" applyProtection="1">
      <alignment/>
      <protection/>
    </xf>
    <xf numFmtId="0" fontId="0" fillId="37" borderId="0" xfId="0" applyFill="1" applyAlignment="1">
      <alignment/>
    </xf>
    <xf numFmtId="173" fontId="11" fillId="37" borderId="0" xfId="46" applyFont="1" applyFill="1" applyBorder="1" applyAlignment="1" applyProtection="1">
      <alignment/>
      <protection/>
    </xf>
    <xf numFmtId="0" fontId="11" fillId="38" borderId="0" xfId="0" applyFont="1" applyFill="1" applyAlignment="1">
      <alignment/>
    </xf>
    <xf numFmtId="174" fontId="11" fillId="38" borderId="0" xfId="0" applyNumberFormat="1" applyFont="1" applyFill="1" applyAlignment="1">
      <alignment/>
    </xf>
    <xf numFmtId="0" fontId="19" fillId="38" borderId="0" xfId="0" applyFont="1" applyFill="1" applyAlignment="1">
      <alignment/>
    </xf>
    <xf numFmtId="174" fontId="13" fillId="38" borderId="0" xfId="0" applyNumberFormat="1" applyFont="1" applyFill="1" applyAlignment="1">
      <alignment/>
    </xf>
    <xf numFmtId="1" fontId="11" fillId="38" borderId="0" xfId="46" applyNumberFormat="1" applyFont="1" applyFill="1" applyBorder="1" applyAlignment="1" applyProtection="1">
      <alignment/>
      <protection/>
    </xf>
    <xf numFmtId="174" fontId="11" fillId="38" borderId="0" xfId="46" applyNumberFormat="1" applyFont="1" applyFill="1" applyBorder="1" applyAlignment="1" applyProtection="1">
      <alignment/>
      <protection/>
    </xf>
    <xf numFmtId="9" fontId="0" fillId="36" borderId="0" xfId="56" applyFill="1" applyAlignment="1">
      <alignment/>
    </xf>
    <xf numFmtId="174" fontId="0" fillId="0" borderId="0" xfId="46" applyNumberFormat="1" applyFont="1" applyFill="1" applyBorder="1" applyAlignment="1" applyProtection="1">
      <alignment/>
      <protection/>
    </xf>
    <xf numFmtId="0" fontId="15" fillId="0" borderId="0" xfId="0" applyFont="1" applyFill="1" applyAlignment="1">
      <alignment/>
    </xf>
    <xf numFmtId="1" fontId="13" fillId="0" borderId="0" xfId="0" applyNumberFormat="1" applyFont="1" applyFill="1" applyAlignment="1">
      <alignment/>
    </xf>
    <xf numFmtId="174" fontId="0" fillId="0" borderId="0" xfId="0" applyNumberFormat="1" applyFill="1" applyAlignment="1">
      <alignment/>
    </xf>
    <xf numFmtId="173" fontId="0" fillId="39" borderId="11" xfId="46" applyNumberFormat="1" applyFont="1" applyFill="1" applyBorder="1" applyAlignment="1" applyProtection="1">
      <alignment/>
      <protection/>
    </xf>
    <xf numFmtId="0" fontId="61" fillId="33" borderId="0" xfId="53" applyFont="1" applyFill="1">
      <alignment/>
      <protection/>
    </xf>
    <xf numFmtId="174" fontId="0" fillId="36" borderId="0" xfId="46" applyNumberFormat="1" applyFill="1" applyAlignment="1">
      <alignment/>
    </xf>
    <xf numFmtId="9" fontId="0" fillId="0" borderId="0" xfId="0" applyNumberFormat="1" applyFill="1" applyAlignment="1">
      <alignment/>
    </xf>
    <xf numFmtId="3" fontId="0" fillId="40" borderId="0" xfId="0" applyNumberFormat="1" applyFill="1" applyAlignment="1">
      <alignment/>
    </xf>
    <xf numFmtId="3" fontId="0" fillId="41" borderId="0" xfId="0" applyNumberFormat="1" applyFill="1" applyAlignment="1">
      <alignment/>
    </xf>
    <xf numFmtId="0" fontId="0" fillId="41" borderId="0" xfId="0" applyFill="1" applyAlignment="1">
      <alignment/>
    </xf>
    <xf numFmtId="0" fontId="19" fillId="0" borderId="0" xfId="0" applyFont="1" applyAlignment="1">
      <alignment/>
    </xf>
    <xf numFmtId="0" fontId="0" fillId="42" borderId="0" xfId="0" applyFill="1" applyAlignment="1">
      <alignment/>
    </xf>
    <xf numFmtId="3" fontId="0" fillId="43" borderId="11" xfId="0" applyNumberFormat="1" applyFill="1" applyBorder="1" applyAlignment="1">
      <alignment/>
    </xf>
    <xf numFmtId="0" fontId="0" fillId="0" borderId="0" xfId="0" applyFont="1" applyFill="1" applyBorder="1" applyAlignment="1">
      <alignment/>
    </xf>
    <xf numFmtId="174" fontId="0" fillId="0" borderId="0" xfId="46" applyNumberFormat="1" applyFill="1" applyAlignment="1">
      <alignment/>
    </xf>
    <xf numFmtId="187" fontId="0" fillId="0" borderId="0" xfId="46" applyNumberFormat="1" applyFont="1" applyFill="1" applyBorder="1" applyAlignment="1" applyProtection="1">
      <alignment/>
      <protection/>
    </xf>
    <xf numFmtId="174" fontId="0" fillId="36" borderId="12" xfId="46" applyNumberFormat="1" applyFont="1" applyFill="1" applyBorder="1" applyAlignment="1" applyProtection="1">
      <alignment/>
      <protection/>
    </xf>
    <xf numFmtId="0" fontId="0" fillId="33" borderId="13" xfId="0" applyFont="1" applyFill="1" applyBorder="1" applyAlignment="1">
      <alignment/>
    </xf>
    <xf numFmtId="174" fontId="0" fillId="36" borderId="14" xfId="46" applyNumberFormat="1" applyFont="1" applyFill="1" applyBorder="1" applyAlignment="1" applyProtection="1">
      <alignment/>
      <protection/>
    </xf>
    <xf numFmtId="174" fontId="0" fillId="36" borderId="15" xfId="46" applyNumberFormat="1" applyFont="1" applyFill="1" applyBorder="1" applyAlignment="1" applyProtection="1">
      <alignment/>
      <protection/>
    </xf>
    <xf numFmtId="0" fontId="0" fillId="33" borderId="0" xfId="0" applyFont="1" applyFill="1" applyBorder="1" applyAlignment="1">
      <alignment/>
    </xf>
    <xf numFmtId="174" fontId="0" fillId="36" borderId="16" xfId="46" applyNumberFormat="1" applyFont="1" applyFill="1" applyBorder="1" applyAlignment="1" applyProtection="1">
      <alignment/>
      <protection/>
    </xf>
    <xf numFmtId="174" fontId="0" fillId="33" borderId="17" xfId="46" applyNumberFormat="1" applyFill="1" applyBorder="1" applyAlignment="1">
      <alignment/>
    </xf>
    <xf numFmtId="0" fontId="0" fillId="33" borderId="18" xfId="0" applyFont="1" applyFill="1" applyBorder="1" applyAlignment="1">
      <alignment/>
    </xf>
    <xf numFmtId="174" fontId="0" fillId="33" borderId="17" xfId="46" applyNumberFormat="1" applyFont="1" applyFill="1" applyBorder="1" applyAlignment="1" applyProtection="1">
      <alignment/>
      <protection/>
    </xf>
    <xf numFmtId="0" fontId="0" fillId="33" borderId="18" xfId="0" applyFill="1" applyBorder="1" applyAlignment="1">
      <alignment/>
    </xf>
    <xf numFmtId="0" fontId="0" fillId="44" borderId="19" xfId="0" applyFont="1" applyFill="1" applyBorder="1" applyAlignment="1">
      <alignment/>
    </xf>
    <xf numFmtId="0" fontId="0" fillId="44" borderId="20" xfId="0" applyFont="1" applyFill="1" applyBorder="1" applyAlignment="1">
      <alignment/>
    </xf>
    <xf numFmtId="174" fontId="0" fillId="44" borderId="21" xfId="46" applyNumberFormat="1" applyFont="1" applyFill="1" applyBorder="1" applyAlignment="1" applyProtection="1">
      <alignment/>
      <protection/>
    </xf>
    <xf numFmtId="172" fontId="4" fillId="33" borderId="0" xfId="53" applyNumberFormat="1" applyFont="1" applyFill="1" applyAlignment="1">
      <alignment horizontal="center" wrapText="1"/>
      <protection/>
    </xf>
    <xf numFmtId="0" fontId="6" fillId="33" borderId="0" xfId="53" applyFont="1" applyFill="1" applyAlignment="1">
      <alignment horizontal="center" wrapText="1"/>
      <protection/>
    </xf>
    <xf numFmtId="0" fontId="7" fillId="34" borderId="22" xfId="53" applyFont="1" applyFill="1" applyBorder="1" applyAlignment="1">
      <alignment horizontal="center" wrapText="1"/>
      <protection/>
    </xf>
    <xf numFmtId="0" fontId="7" fillId="34" borderId="23" xfId="53" applyFont="1" applyFill="1" applyBorder="1" applyAlignment="1">
      <alignment horizontal="center" wrapText="1"/>
      <protection/>
    </xf>
    <xf numFmtId="172" fontId="22" fillId="33" borderId="0" xfId="53" applyNumberFormat="1" applyFont="1" applyFill="1" applyAlignment="1">
      <alignment horizontal="center" wrapText="1"/>
      <protection/>
    </xf>
    <xf numFmtId="172" fontId="23" fillId="33" borderId="0" xfId="53" applyNumberFormat="1" applyFont="1" applyFill="1" applyAlignment="1">
      <alignment horizontal="center" wrapText="1"/>
      <protection/>
    </xf>
    <xf numFmtId="0" fontId="62" fillId="33" borderId="0" xfId="53" applyFont="1" applyFill="1" applyAlignment="1">
      <alignment horizontal="center" wrapText="1"/>
      <protection/>
    </xf>
    <xf numFmtId="0" fontId="0" fillId="0" borderId="0" xfId="0" applyFont="1" applyBorder="1" applyAlignment="1">
      <alignment wrapText="1"/>
    </xf>
    <xf numFmtId="0" fontId="60" fillId="0" borderId="0" xfId="0" applyFont="1" applyAlignment="1">
      <alignment/>
    </xf>
    <xf numFmtId="172" fontId="22" fillId="33" borderId="0" xfId="53" applyNumberFormat="1" applyFont="1" applyFill="1" applyAlignment="1">
      <alignment horizontal="center" vertical="center" wrapText="1"/>
      <protection/>
    </xf>
    <xf numFmtId="0" fontId="12" fillId="45" borderId="24" xfId="0" applyFont="1" applyFill="1" applyBorder="1" applyAlignment="1">
      <alignment/>
    </xf>
    <xf numFmtId="0" fontId="12" fillId="45" borderId="25" xfId="0" applyFont="1" applyFill="1" applyBorder="1" applyAlignment="1">
      <alignment/>
    </xf>
    <xf numFmtId="0" fontId="0" fillId="45" borderId="24" xfId="0" applyFill="1" applyBorder="1" applyAlignment="1">
      <alignment/>
    </xf>
    <xf numFmtId="0" fontId="0" fillId="45" borderId="25" xfId="0" applyFill="1" applyBorder="1" applyAlignment="1">
      <alignment/>
    </xf>
    <xf numFmtId="0" fontId="63" fillId="45" borderId="24" xfId="0" applyFont="1" applyFill="1" applyBorder="1" applyAlignment="1">
      <alignment/>
    </xf>
    <xf numFmtId="171" fontId="63" fillId="45" borderId="24" xfId="0" applyNumberFormat="1" applyFont="1" applyFill="1" applyBorder="1" applyAlignment="1">
      <alignment/>
    </xf>
    <xf numFmtId="0" fontId="15" fillId="45" borderId="26" xfId="0" applyFont="1" applyFill="1" applyBorder="1" applyAlignment="1">
      <alignment/>
    </xf>
    <xf numFmtId="0" fontId="12" fillId="45" borderId="27" xfId="0" applyFont="1" applyFill="1" applyBorder="1" applyAlignment="1">
      <alignment/>
    </xf>
    <xf numFmtId="0" fontId="12" fillId="45" borderId="13" xfId="0" applyFont="1" applyFill="1" applyBorder="1" applyAlignment="1">
      <alignment/>
    </xf>
    <xf numFmtId="0" fontId="12" fillId="45" borderId="28" xfId="0" applyFont="1" applyFill="1" applyBorder="1" applyAlignment="1">
      <alignment/>
    </xf>
    <xf numFmtId="0" fontId="0" fillId="45" borderId="13" xfId="0" applyFill="1" applyBorder="1" applyAlignment="1">
      <alignment/>
    </xf>
    <xf numFmtId="0" fontId="15" fillId="45" borderId="24" xfId="0" applyFont="1" applyFill="1" applyBorder="1" applyAlignment="1">
      <alignment/>
    </xf>
    <xf numFmtId="0" fontId="15" fillId="45" borderId="25" xfId="0" applyFont="1" applyFill="1" applyBorder="1" applyAlignment="1">
      <alignment/>
    </xf>
    <xf numFmtId="0" fontId="44" fillId="35" borderId="0" xfId="0" applyFont="1" applyFill="1" applyBorder="1"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12" fillId="45" borderId="26" xfId="0" applyFont="1" applyFill="1" applyBorder="1" applyAlignment="1">
      <alignment/>
    </xf>
    <xf numFmtId="0" fontId="0" fillId="45" borderId="28" xfId="0" applyFill="1" applyBorder="1" applyAlignment="1">
      <alignment/>
    </xf>
    <xf numFmtId="0" fontId="0" fillId="45" borderId="24" xfId="0" applyFont="1" applyFill="1" applyBorder="1" applyAlignment="1">
      <alignment/>
    </xf>
    <xf numFmtId="0" fontId="0" fillId="45" borderId="25" xfId="0" applyFont="1" applyFill="1" applyBorder="1" applyAlignment="1">
      <alignment/>
    </xf>
    <xf numFmtId="174" fontId="0" fillId="46" borderId="11" xfId="46"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133350</xdr:rowOff>
    </xdr:from>
    <xdr:to>
      <xdr:col>0</xdr:col>
      <xdr:colOff>2952750</xdr:colOff>
      <xdr:row>4</xdr:row>
      <xdr:rowOff>66675</xdr:rowOff>
    </xdr:to>
    <xdr:pic>
      <xdr:nvPicPr>
        <xdr:cNvPr id="1" name="Afbeelding 2" descr="Logo GroasisTech_180dpi_W300.jpg"/>
        <xdr:cNvPicPr preferRelativeResize="1">
          <a:picLocks noChangeAspect="1"/>
        </xdr:cNvPicPr>
      </xdr:nvPicPr>
      <xdr:blipFill>
        <a:blip r:embed="rId1"/>
        <a:stretch>
          <a:fillRect/>
        </a:stretch>
      </xdr:blipFill>
      <xdr:spPr>
        <a:xfrm>
          <a:off x="95250" y="133350"/>
          <a:ext cx="28575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0</xdr:col>
      <xdr:colOff>1524000</xdr:colOff>
      <xdr:row>1</xdr:row>
      <xdr:rowOff>123825</xdr:rowOff>
    </xdr:to>
    <xdr:pic>
      <xdr:nvPicPr>
        <xdr:cNvPr id="1" name="Afbeelding 3" descr="Logo GroasisTech_180dpi_W300.jpg"/>
        <xdr:cNvPicPr preferRelativeResize="1">
          <a:picLocks noChangeAspect="1"/>
        </xdr:cNvPicPr>
      </xdr:nvPicPr>
      <xdr:blipFill>
        <a:blip r:embed="rId1"/>
        <a:stretch>
          <a:fillRect/>
        </a:stretch>
      </xdr:blipFill>
      <xdr:spPr>
        <a:xfrm>
          <a:off x="0" y="85725"/>
          <a:ext cx="15240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1524000</xdr:colOff>
      <xdr:row>1</xdr:row>
      <xdr:rowOff>104775</xdr:rowOff>
    </xdr:to>
    <xdr:pic>
      <xdr:nvPicPr>
        <xdr:cNvPr id="1" name="Afbeelding 4" descr="Logo GroasisTech_180dpi_W300.jpg"/>
        <xdr:cNvPicPr preferRelativeResize="1">
          <a:picLocks noChangeAspect="1"/>
        </xdr:cNvPicPr>
      </xdr:nvPicPr>
      <xdr:blipFill>
        <a:blip r:embed="rId1"/>
        <a:stretch>
          <a:fillRect/>
        </a:stretch>
      </xdr:blipFill>
      <xdr:spPr>
        <a:xfrm>
          <a:off x="0" y="66675"/>
          <a:ext cx="15240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1524000</xdr:colOff>
      <xdr:row>1</xdr:row>
      <xdr:rowOff>104775</xdr:rowOff>
    </xdr:to>
    <xdr:pic>
      <xdr:nvPicPr>
        <xdr:cNvPr id="1" name="Afbeelding 3" descr="Logo GroasisTech_180dpi_W300.jpg"/>
        <xdr:cNvPicPr preferRelativeResize="1">
          <a:picLocks noChangeAspect="1"/>
        </xdr:cNvPicPr>
      </xdr:nvPicPr>
      <xdr:blipFill>
        <a:blip r:embed="rId1"/>
        <a:stretch>
          <a:fillRect/>
        </a:stretch>
      </xdr:blipFill>
      <xdr:spPr>
        <a:xfrm>
          <a:off x="0" y="66675"/>
          <a:ext cx="15240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1524000</xdr:colOff>
      <xdr:row>1</xdr:row>
      <xdr:rowOff>104775</xdr:rowOff>
    </xdr:to>
    <xdr:pic>
      <xdr:nvPicPr>
        <xdr:cNvPr id="1" name="Afbeelding 3" descr="Logo GroasisTech_180dpi_W300.jpg"/>
        <xdr:cNvPicPr preferRelativeResize="1">
          <a:picLocks noChangeAspect="1"/>
        </xdr:cNvPicPr>
      </xdr:nvPicPr>
      <xdr:blipFill>
        <a:blip r:embed="rId1"/>
        <a:stretch>
          <a:fillRect/>
        </a:stretch>
      </xdr:blipFill>
      <xdr:spPr>
        <a:xfrm>
          <a:off x="0" y="66675"/>
          <a:ext cx="15240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1524000</xdr:colOff>
      <xdr:row>1</xdr:row>
      <xdr:rowOff>104775</xdr:rowOff>
    </xdr:to>
    <xdr:pic>
      <xdr:nvPicPr>
        <xdr:cNvPr id="1" name="Afbeelding 2" descr="Logo GroasisTech_180dpi_W300.jpg"/>
        <xdr:cNvPicPr preferRelativeResize="1">
          <a:picLocks noChangeAspect="1"/>
        </xdr:cNvPicPr>
      </xdr:nvPicPr>
      <xdr:blipFill>
        <a:blip r:embed="rId1"/>
        <a:stretch>
          <a:fillRect/>
        </a:stretch>
      </xdr:blipFill>
      <xdr:spPr>
        <a:xfrm>
          <a:off x="0" y="66675"/>
          <a:ext cx="15240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2"/>
  <sheetViews>
    <sheetView tabSelected="1" zoomScaleSheetLayoutView="100" zoomScalePageLayoutView="0" workbookViewId="0" topLeftCell="A1">
      <selection activeCell="A9" sqref="A9"/>
    </sheetView>
  </sheetViews>
  <sheetFormatPr defaultColWidth="9.140625" defaultRowHeight="15"/>
  <cols>
    <col min="1" max="1" width="95.421875" style="1" customWidth="1"/>
    <col min="2" max="16384" width="9.140625" style="1" customWidth="1"/>
  </cols>
  <sheetData>
    <row r="1" ht="12.75">
      <c r="A1" s="2"/>
    </row>
    <row r="2" ht="12.75">
      <c r="A2" s="2"/>
    </row>
    <row r="3" ht="23.25">
      <c r="A3" s="3"/>
    </row>
    <row r="4" ht="12.75">
      <c r="A4" s="2"/>
    </row>
    <row r="5" ht="12.75">
      <c r="A5" s="2"/>
    </row>
    <row r="6" ht="12.75">
      <c r="A6" s="2"/>
    </row>
    <row r="7" s="62" customFormat="1" ht="51.75" customHeight="1">
      <c r="A7" s="93" t="s">
        <v>159</v>
      </c>
    </row>
    <row r="8" ht="30.75" customHeight="1">
      <c r="A8" s="91" t="s">
        <v>158</v>
      </c>
    </row>
    <row r="9" ht="23.25">
      <c r="A9" s="96" t="s">
        <v>164</v>
      </c>
    </row>
    <row r="10" ht="23.25">
      <c r="A10" s="91" t="s">
        <v>142</v>
      </c>
    </row>
    <row r="11" ht="23.25">
      <c r="A11" s="91" t="s">
        <v>157</v>
      </c>
    </row>
    <row r="12" ht="23.25">
      <c r="A12" s="91" t="s">
        <v>177</v>
      </c>
    </row>
    <row r="13" ht="23.25">
      <c r="A13" s="91" t="s">
        <v>176</v>
      </c>
    </row>
    <row r="14" ht="23.25">
      <c r="A14" s="91" t="s">
        <v>175</v>
      </c>
    </row>
    <row r="15" ht="23.25">
      <c r="A15" s="91" t="s">
        <v>173</v>
      </c>
    </row>
    <row r="16" ht="23.25">
      <c r="A16" s="91"/>
    </row>
    <row r="17" ht="30.75" customHeight="1">
      <c r="A17" s="92" t="s">
        <v>165</v>
      </c>
    </row>
    <row r="18" ht="30.75" customHeight="1">
      <c r="A18" s="87"/>
    </row>
    <row r="19" ht="47.25" customHeight="1">
      <c r="A19" s="4" t="s">
        <v>143</v>
      </c>
    </row>
    <row r="20" ht="15.75">
      <c r="A20" s="88"/>
    </row>
    <row r="21" ht="12.75">
      <c r="A21" s="89" t="s">
        <v>0</v>
      </c>
    </row>
    <row r="22" ht="12.75">
      <c r="A22" s="90" t="s">
        <v>1</v>
      </c>
    </row>
    <row r="25" ht="15.75">
      <c r="A25" s="5"/>
    </row>
    <row r="26" ht="12.75">
      <c r="A26" s="2"/>
    </row>
    <row r="27" ht="15.75">
      <c r="A27" s="6" t="s">
        <v>2</v>
      </c>
    </row>
    <row r="28" ht="12.75">
      <c r="A28" s="7" t="s">
        <v>3</v>
      </c>
    </row>
    <row r="29" ht="15.75">
      <c r="A29" s="6"/>
    </row>
    <row r="31" ht="12.75">
      <c r="A31" s="2"/>
    </row>
    <row r="32" ht="12.75">
      <c r="A32" s="8" t="s">
        <v>4</v>
      </c>
    </row>
  </sheetData>
  <sheetProtection selectLockedCells="1" selectUnlockedCells="1"/>
  <hyperlinks>
    <hyperlink ref="A28" r:id="rId1" display="phoff@groasis.com"/>
  </hyperlinks>
  <printOptions/>
  <pageMargins left="0.75" right="0.75" top="1" bottom="1" header="0.5118055555555555" footer="0.511805555555555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A33"/>
  <sheetViews>
    <sheetView zoomScaleSheetLayoutView="115" zoomScalePageLayoutView="0" workbookViewId="0" topLeftCell="A1">
      <selection activeCell="A1" sqref="A1"/>
    </sheetView>
  </sheetViews>
  <sheetFormatPr defaultColWidth="9.140625" defaultRowHeight="15"/>
  <cols>
    <col min="1" max="1" width="71.57421875" style="0" bestFit="1" customWidth="1"/>
    <col min="2" max="2" width="9.7109375" style="0" bestFit="1" customWidth="1"/>
    <col min="3" max="3" width="18.00390625" style="0" bestFit="1" customWidth="1"/>
    <col min="4" max="4" width="3.421875" style="16" customWidth="1"/>
  </cols>
  <sheetData>
    <row r="1" spans="1:4" s="10" customFormat="1" ht="27" customHeight="1">
      <c r="A1" s="110" t="s">
        <v>174</v>
      </c>
      <c r="B1" s="9"/>
      <c r="C1" s="9"/>
      <c r="D1" s="71"/>
    </row>
    <row r="2" spans="1:4" s="10" customFormat="1" ht="15">
      <c r="A2" s="9" t="s">
        <v>5</v>
      </c>
      <c r="B2" s="9"/>
      <c r="C2" s="9"/>
      <c r="D2" s="71"/>
    </row>
    <row r="3" s="10" customFormat="1" ht="15">
      <c r="D3" s="14"/>
    </row>
    <row r="4" spans="1:4" s="10" customFormat="1" ht="15">
      <c r="A4" s="11" t="s">
        <v>6</v>
      </c>
      <c r="D4" s="14"/>
    </row>
    <row r="5" spans="1:6" s="10" customFormat="1" ht="30.75" customHeight="1">
      <c r="A5" s="111" t="s">
        <v>160</v>
      </c>
      <c r="B5" s="111"/>
      <c r="C5" s="111"/>
      <c r="D5" s="94"/>
      <c r="E5" s="94"/>
      <c r="F5" s="94"/>
    </row>
    <row r="6" ht="15"/>
    <row r="7" ht="15.75" thickBot="1">
      <c r="A7" s="68" t="s">
        <v>29</v>
      </c>
    </row>
    <row r="8" spans="1:4" ht="15.75" thickBot="1">
      <c r="A8" t="s">
        <v>30</v>
      </c>
      <c r="C8" s="45"/>
      <c r="D8" s="15"/>
    </row>
    <row r="9" ht="15"/>
    <row r="10" ht="15.75" thickBot="1">
      <c r="A10" s="12" t="s">
        <v>7</v>
      </c>
    </row>
    <row r="11" spans="1:5" ht="15.75" thickBot="1">
      <c r="A11" s="74" t="s">
        <v>8</v>
      </c>
      <c r="B11" s="75" t="s">
        <v>9</v>
      </c>
      <c r="C11" s="76">
        <v>15000000</v>
      </c>
      <c r="D11" s="15"/>
      <c r="E11" s="13" t="s">
        <v>10</v>
      </c>
    </row>
    <row r="12" spans="1:5" ht="15.75" thickBot="1">
      <c r="A12" s="77" t="s">
        <v>11</v>
      </c>
      <c r="B12" s="78" t="s">
        <v>12</v>
      </c>
      <c r="C12" s="79">
        <v>10</v>
      </c>
      <c r="D12" s="15"/>
      <c r="E12" s="13" t="s">
        <v>13</v>
      </c>
    </row>
    <row r="13" spans="1:5" ht="15.75" thickBot="1">
      <c r="A13" s="77" t="s">
        <v>14</v>
      </c>
      <c r="B13" s="78" t="s">
        <v>15</v>
      </c>
      <c r="C13" s="79">
        <v>4</v>
      </c>
      <c r="D13" s="15"/>
      <c r="E13" s="13" t="s">
        <v>16</v>
      </c>
    </row>
    <row r="14" spans="1:5" ht="15.75" thickBot="1">
      <c r="A14" s="77" t="s">
        <v>144</v>
      </c>
      <c r="B14" s="78"/>
      <c r="C14" s="79">
        <v>250</v>
      </c>
      <c r="D14" s="15"/>
      <c r="E14" s="13" t="s">
        <v>17</v>
      </c>
    </row>
    <row r="15" spans="1:5" ht="15.75" thickBot="1">
      <c r="A15" s="77" t="s">
        <v>161</v>
      </c>
      <c r="B15" s="78"/>
      <c r="C15" s="79">
        <v>46</v>
      </c>
      <c r="D15" s="15"/>
      <c r="E15" s="13" t="s">
        <v>18</v>
      </c>
    </row>
    <row r="16" spans="1:5" ht="15">
      <c r="A16" s="78"/>
      <c r="B16" s="78"/>
      <c r="C16" s="78"/>
      <c r="D16" s="15"/>
      <c r="E16" s="13"/>
    </row>
    <row r="17" spans="1:5" ht="15">
      <c r="A17" s="81" t="s">
        <v>19</v>
      </c>
      <c r="B17" s="78" t="s">
        <v>20</v>
      </c>
      <c r="C17" s="80">
        <f>Employment!C13</f>
        <v>32608.695652173912</v>
      </c>
      <c r="D17" s="72"/>
      <c r="E17" s="13"/>
    </row>
    <row r="18" spans="1:4" ht="15">
      <c r="A18" s="81" t="s">
        <v>21</v>
      </c>
      <c r="B18" s="78" t="s">
        <v>22</v>
      </c>
      <c r="C18" s="82">
        <f>C29/C12</f>
        <v>1965.35055875</v>
      </c>
      <c r="D18" s="15"/>
    </row>
    <row r="19" spans="1:4" ht="15.75" thickBot="1">
      <c r="A19" s="81" t="s">
        <v>23</v>
      </c>
      <c r="B19" s="78" t="s">
        <v>15</v>
      </c>
      <c r="C19" s="82">
        <f>(C29*1000000)/C11</f>
        <v>1310.2337058333333</v>
      </c>
      <c r="D19" s="15"/>
    </row>
    <row r="20" spans="1:9" ht="15">
      <c r="A20" s="83" t="s">
        <v>179</v>
      </c>
      <c r="B20" s="78" t="s">
        <v>24</v>
      </c>
      <c r="C20" s="82">
        <f>Employment!C49</f>
        <v>101195</v>
      </c>
      <c r="D20" s="15"/>
      <c r="E20" s="104" t="s">
        <v>178</v>
      </c>
      <c r="F20" s="107"/>
      <c r="G20" s="107"/>
      <c r="H20" s="107"/>
      <c r="I20" s="114"/>
    </row>
    <row r="21" spans="1:4" ht="15.75" thickBot="1">
      <c r="A21" s="81" t="s">
        <v>25</v>
      </c>
      <c r="B21" s="78" t="s">
        <v>26</v>
      </c>
      <c r="C21" s="82">
        <f>Nursery!C26</f>
        <v>1748641.304347826</v>
      </c>
      <c r="D21" s="15"/>
    </row>
    <row r="22" spans="1:12" ht="15.75" thickBot="1">
      <c r="A22" s="83" t="s">
        <v>180</v>
      </c>
      <c r="B22" s="79">
        <v>1</v>
      </c>
      <c r="C22" s="82">
        <f>C11*B22</f>
        <v>15000000</v>
      </c>
      <c r="D22" s="15"/>
      <c r="E22" s="113" t="s">
        <v>181</v>
      </c>
      <c r="F22" s="115"/>
      <c r="G22" s="115"/>
      <c r="H22" s="115"/>
      <c r="I22" s="115"/>
      <c r="J22" s="115"/>
      <c r="K22" s="115"/>
      <c r="L22" s="116"/>
    </row>
    <row r="23" spans="1:20" ht="15.75" thickBot="1">
      <c r="A23" s="83" t="s">
        <v>162</v>
      </c>
      <c r="B23" s="78"/>
      <c r="C23" s="117">
        <v>15</v>
      </c>
      <c r="D23" s="15"/>
      <c r="E23" s="104" t="s">
        <v>171</v>
      </c>
      <c r="F23" s="105"/>
      <c r="G23" s="105"/>
      <c r="H23" s="106"/>
      <c r="I23" s="107"/>
      <c r="J23" s="107"/>
      <c r="K23" s="107"/>
      <c r="L23" s="107"/>
      <c r="M23" s="107"/>
      <c r="N23" s="107"/>
      <c r="O23" s="107"/>
      <c r="P23" s="99"/>
      <c r="Q23" s="99"/>
      <c r="R23" s="99"/>
      <c r="S23" s="99"/>
      <c r="T23" s="100"/>
    </row>
    <row r="24" spans="1:15" ht="15.75" thickBot="1">
      <c r="A24" s="83" t="s">
        <v>137</v>
      </c>
      <c r="B24" s="78"/>
      <c r="C24" s="82">
        <f>C11*C23</f>
        <v>225000000</v>
      </c>
      <c r="D24"/>
      <c r="E24" s="103" t="s">
        <v>172</v>
      </c>
      <c r="F24" s="108"/>
      <c r="G24" s="108"/>
      <c r="H24" s="108"/>
      <c r="I24" s="108"/>
      <c r="J24" s="108"/>
      <c r="K24" s="108"/>
      <c r="L24" s="108"/>
      <c r="M24" s="108"/>
      <c r="N24" s="108"/>
      <c r="O24" s="109"/>
    </row>
    <row r="25" spans="1:4" ht="15.75" thickBot="1">
      <c r="A25" s="81" t="s">
        <v>138</v>
      </c>
      <c r="B25" s="78" t="s">
        <v>15</v>
      </c>
      <c r="C25" s="61">
        <f>(C29*1000000)/((C24*C12)/2)</f>
        <v>17.469782744444444</v>
      </c>
      <c r="D25"/>
    </row>
    <row r="26" spans="1:10" ht="15.75" thickBot="1">
      <c r="A26" s="81" t="s">
        <v>163</v>
      </c>
      <c r="B26" s="79">
        <v>50</v>
      </c>
      <c r="C26" s="82">
        <f>C24*B26</f>
        <v>11250000000</v>
      </c>
      <c r="D26" s="15"/>
      <c r="E26" s="95"/>
      <c r="F26" s="95"/>
      <c r="G26" s="95"/>
      <c r="H26" s="95"/>
      <c r="I26" s="95"/>
      <c r="J26" s="95"/>
    </row>
    <row r="27" spans="1:27" ht="15.75" thickBot="1">
      <c r="A27" s="83" t="s">
        <v>169</v>
      </c>
      <c r="B27" s="78" t="s">
        <v>15</v>
      </c>
      <c r="C27" s="61">
        <f>(C29*1000000)/(((C24*C12)/2)+C26)</f>
        <v>1.5881620676767676</v>
      </c>
      <c r="D27" s="73"/>
      <c r="E27" s="103" t="s">
        <v>170</v>
      </c>
      <c r="F27" s="101"/>
      <c r="G27" s="101"/>
      <c r="H27" s="101"/>
      <c r="I27" s="101"/>
      <c r="J27" s="102"/>
      <c r="K27" s="97"/>
      <c r="L27" s="97"/>
      <c r="M27" s="97"/>
      <c r="N27" s="97"/>
      <c r="O27" s="97"/>
      <c r="P27" s="97"/>
      <c r="Q27" s="97"/>
      <c r="R27" s="97"/>
      <c r="S27" s="97"/>
      <c r="T27" s="97"/>
      <c r="U27" s="97"/>
      <c r="V27" s="97"/>
      <c r="W27" s="97"/>
      <c r="X27" s="97"/>
      <c r="Y27" s="97"/>
      <c r="Z27" s="97"/>
      <c r="AA27" s="98"/>
    </row>
    <row r="28" spans="1:4" ht="15.75" thickBot="1">
      <c r="A28" s="81" t="s">
        <v>27</v>
      </c>
      <c r="B28" s="78"/>
      <c r="C28" s="82">
        <f>'Planting Cost and Info'!C16*'Planting Cost and Info'!C22*'Planting Cost and Info'!C8</f>
        <v>3375000000</v>
      </c>
      <c r="D28" s="15"/>
    </row>
    <row r="29" spans="1:5" ht="15.75" thickBot="1">
      <c r="A29" s="84" t="s">
        <v>28</v>
      </c>
      <c r="B29" s="85" t="s">
        <v>22</v>
      </c>
      <c r="C29" s="86">
        <f>('Planting Cost and Info'!C55*'Planting Cost and Info'!C8)/1000000</f>
        <v>19653.5055875</v>
      </c>
      <c r="D29" s="15"/>
      <c r="E29" s="95"/>
    </row>
    <row r="30" spans="1:4" s="16" customFormat="1" ht="15">
      <c r="A30" s="14"/>
      <c r="B30" s="14"/>
      <c r="C30" s="15"/>
      <c r="D30" s="15"/>
    </row>
    <row r="33" spans="1:6" ht="15">
      <c r="A33" s="10"/>
      <c r="B33" s="10"/>
      <c r="C33" s="10"/>
      <c r="D33" s="14"/>
      <c r="F33" s="16"/>
    </row>
  </sheetData>
  <sheetProtection selectLockedCells="1" selectUnlockedCells="1"/>
  <mergeCells count="1">
    <mergeCell ref="A5:C5"/>
  </mergeCells>
  <printOptions/>
  <pageMargins left="0.7" right="0.7" top="0.75" bottom="0.75" header="0.5118055555555555" footer="0.5118055555555555"/>
  <pageSetup horizontalDpi="300" verticalDpi="300" orientation="landscape" paperSize="9" scale="93" r:id="rId4"/>
  <colBreaks count="1" manualBreakCount="1">
    <brk id="3"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
    </sheetView>
  </sheetViews>
  <sheetFormatPr defaultColWidth="9.140625" defaultRowHeight="15"/>
  <cols>
    <col min="1" max="1" width="75.8515625" style="0" customWidth="1"/>
    <col min="3" max="3" width="13.8515625" style="0" customWidth="1"/>
    <col min="4" max="4" width="3.8515625" style="0" customWidth="1"/>
    <col min="9" max="9" width="10.00390625" style="0" customWidth="1"/>
  </cols>
  <sheetData>
    <row r="1" spans="1:5" s="10" customFormat="1" ht="27" customHeight="1">
      <c r="A1" s="110" t="s">
        <v>174</v>
      </c>
      <c r="B1" s="9"/>
      <c r="C1" s="9"/>
      <c r="D1" s="71"/>
      <c r="E1" s="71"/>
    </row>
    <row r="2" spans="1:5" s="10" customFormat="1" ht="15">
      <c r="A2" s="9" t="s">
        <v>5</v>
      </c>
      <c r="B2" s="9"/>
      <c r="C2" s="9"/>
      <c r="D2" s="71"/>
      <c r="E2" s="71"/>
    </row>
    <row r="4" ht="15">
      <c r="A4" t="s">
        <v>166</v>
      </c>
    </row>
    <row r="6" spans="1:3" ht="15">
      <c r="A6" s="18" t="s">
        <v>31</v>
      </c>
      <c r="B6" s="19" t="s">
        <v>32</v>
      </c>
      <c r="C6" s="20" t="s">
        <v>33</v>
      </c>
    </row>
    <row r="8" spans="1:3" ht="15">
      <c r="A8" t="s">
        <v>34</v>
      </c>
      <c r="B8" t="s">
        <v>9</v>
      </c>
      <c r="C8" s="15">
        <f>'Introduction and Summary'!C11</f>
        <v>15000000</v>
      </c>
    </row>
    <row r="9" spans="1:3" ht="15">
      <c r="A9" t="s">
        <v>35</v>
      </c>
      <c r="B9" t="s">
        <v>12</v>
      </c>
      <c r="C9" s="57">
        <f>'Introduction and Summary'!C12</f>
        <v>10</v>
      </c>
    </row>
    <row r="10" ht="15">
      <c r="C10" s="16"/>
    </row>
    <row r="11" spans="1:3" ht="15">
      <c r="A11" t="s">
        <v>36</v>
      </c>
      <c r="B11" t="s">
        <v>15</v>
      </c>
      <c r="C11" s="57">
        <f>Employment!C38*'Introduction and Summary'!C13</f>
        <v>32</v>
      </c>
    </row>
    <row r="12" spans="1:3" ht="15">
      <c r="A12" s="21" t="s">
        <v>37</v>
      </c>
      <c r="B12" s="21" t="s">
        <v>15</v>
      </c>
      <c r="C12" s="22">
        <f>C11</f>
        <v>32</v>
      </c>
    </row>
    <row r="14" spans="1:5" ht="15">
      <c r="A14" t="s">
        <v>150</v>
      </c>
      <c r="C14" s="16">
        <f>'Introduction and Summary'!C14</f>
        <v>250</v>
      </c>
      <c r="E14" s="16"/>
    </row>
    <row r="15" spans="1:14" ht="15">
      <c r="A15" t="s">
        <v>145</v>
      </c>
      <c r="C15" s="23">
        <v>1</v>
      </c>
      <c r="E15" s="13" t="s">
        <v>38</v>
      </c>
      <c r="M15" s="24">
        <v>1</v>
      </c>
      <c r="N15" s="24">
        <v>2</v>
      </c>
    </row>
    <row r="16" spans="1:3" ht="15">
      <c r="A16" t="s">
        <v>39</v>
      </c>
      <c r="C16" s="16">
        <f>C14*C15</f>
        <v>250</v>
      </c>
    </row>
    <row r="17" spans="1:14" ht="15">
      <c r="A17" t="s">
        <v>146</v>
      </c>
      <c r="C17" s="23">
        <v>1</v>
      </c>
      <c r="E17" s="13" t="s">
        <v>40</v>
      </c>
      <c r="M17" s="24">
        <v>1</v>
      </c>
      <c r="N17" s="24">
        <v>2</v>
      </c>
    </row>
    <row r="18" spans="1:5" ht="15">
      <c r="A18" t="s">
        <v>41</v>
      </c>
      <c r="B18" t="s">
        <v>15</v>
      </c>
      <c r="C18" s="23">
        <v>0.25</v>
      </c>
      <c r="D18" s="16"/>
      <c r="E18" s="13" t="s">
        <v>42</v>
      </c>
    </row>
    <row r="19" spans="1:5" ht="15">
      <c r="A19" t="s">
        <v>43</v>
      </c>
      <c r="B19" t="s">
        <v>15</v>
      </c>
      <c r="C19" s="23">
        <v>0.25</v>
      </c>
      <c r="D19" s="16"/>
      <c r="E19" s="13" t="s">
        <v>42</v>
      </c>
    </row>
    <row r="20" spans="1:3" ht="15">
      <c r="A20" s="21" t="s">
        <v>44</v>
      </c>
      <c r="B20" s="21" t="s">
        <v>15</v>
      </c>
      <c r="C20" s="44">
        <f>IF(C17=M17,(C16*C18),(((C16/2)*C18)+((C16/2)*C19)))</f>
        <v>62.5</v>
      </c>
    </row>
    <row r="22" spans="1:3" ht="15">
      <c r="A22" t="s">
        <v>45</v>
      </c>
      <c r="B22" t="s">
        <v>46</v>
      </c>
      <c r="C22" s="27">
        <v>0.9</v>
      </c>
    </row>
    <row r="23" spans="1:3" ht="15">
      <c r="A23" t="s">
        <v>47</v>
      </c>
      <c r="C23" s="28">
        <f>C22*C16</f>
        <v>225</v>
      </c>
    </row>
    <row r="24" spans="1:3" ht="15">
      <c r="A24" t="s">
        <v>48</v>
      </c>
      <c r="B24" t="s">
        <v>26</v>
      </c>
      <c r="C24" s="28">
        <f>ROUND(10000/(C16*C22),0)</f>
        <v>44</v>
      </c>
    </row>
    <row r="26" spans="1:16" ht="15">
      <c r="A26" t="s">
        <v>147</v>
      </c>
      <c r="B26" t="s">
        <v>15</v>
      </c>
      <c r="C26" s="23">
        <v>1</v>
      </c>
      <c r="E26" s="29" t="s">
        <v>49</v>
      </c>
      <c r="F26" s="30"/>
      <c r="G26" s="30"/>
      <c r="H26" s="30"/>
      <c r="I26" s="30"/>
      <c r="J26" s="30"/>
      <c r="K26" s="30"/>
      <c r="L26" s="30"/>
      <c r="M26" s="30"/>
      <c r="N26" s="30"/>
      <c r="O26" s="30"/>
      <c r="P26" s="30"/>
    </row>
    <row r="27" spans="1:16" ht="15">
      <c r="A27" s="21" t="s">
        <v>149</v>
      </c>
      <c r="B27" s="21" t="s">
        <v>15</v>
      </c>
      <c r="C27" s="21">
        <f>C14*C26</f>
        <v>250</v>
      </c>
      <c r="E27" s="29" t="s">
        <v>132</v>
      </c>
      <c r="F27" s="30"/>
      <c r="G27" s="30"/>
      <c r="H27" s="30"/>
      <c r="I27" s="30"/>
      <c r="J27" s="30"/>
      <c r="K27" s="30"/>
      <c r="L27" s="30"/>
      <c r="M27" s="30"/>
      <c r="N27" s="30"/>
      <c r="O27" s="30"/>
      <c r="P27" s="30"/>
    </row>
    <row r="29" spans="1:3" ht="15">
      <c r="A29" t="s">
        <v>50</v>
      </c>
      <c r="C29" s="31">
        <f>C14</f>
        <v>250</v>
      </c>
    </row>
    <row r="30" spans="1:3" ht="15">
      <c r="A30" t="s">
        <v>51</v>
      </c>
      <c r="B30" t="s">
        <v>15</v>
      </c>
      <c r="C30" s="26">
        <v>0.18</v>
      </c>
    </row>
    <row r="31" spans="1:3" ht="15">
      <c r="A31" t="s">
        <v>52</v>
      </c>
      <c r="B31" t="s">
        <v>15</v>
      </c>
      <c r="C31" s="32">
        <f>'Introduction and Summary'!C13/Employment!C23</f>
        <v>0.13333333333333333</v>
      </c>
    </row>
    <row r="32" spans="1:3" ht="15">
      <c r="A32" s="21" t="s">
        <v>53</v>
      </c>
      <c r="B32" s="21" t="s">
        <v>15</v>
      </c>
      <c r="C32" s="22">
        <f>C29*(C30+C31)</f>
        <v>78.33333333333334</v>
      </c>
    </row>
    <row r="34" spans="1:3" ht="15">
      <c r="A34" t="s">
        <v>148</v>
      </c>
      <c r="B34" t="s">
        <v>15</v>
      </c>
      <c r="C34" s="33">
        <f>'Introduction and Summary'!C13/Employment!C28</f>
        <v>0.5</v>
      </c>
    </row>
    <row r="35" spans="1:3" ht="15">
      <c r="A35" s="34" t="s">
        <v>54</v>
      </c>
      <c r="B35" t="s">
        <v>15</v>
      </c>
      <c r="C35" s="32">
        <f>Employment!C45/Employment!C29</f>
        <v>0.546875</v>
      </c>
    </row>
    <row r="36" spans="1:3" ht="15">
      <c r="A36" s="21" t="s">
        <v>55</v>
      </c>
      <c r="B36" s="21" t="s">
        <v>15</v>
      </c>
      <c r="C36" s="22">
        <f>(C34+C35)*C14</f>
        <v>261.71875</v>
      </c>
    </row>
    <row r="38" spans="1:16" ht="15">
      <c r="A38" s="16" t="s">
        <v>139</v>
      </c>
      <c r="B38" t="s">
        <v>56</v>
      </c>
      <c r="C38" s="23">
        <v>60</v>
      </c>
      <c r="E38" s="35" t="s">
        <v>57</v>
      </c>
      <c r="F38" s="36"/>
      <c r="G38" s="36"/>
      <c r="H38" s="36"/>
      <c r="I38" s="36"/>
      <c r="J38" s="36"/>
      <c r="K38" s="36"/>
      <c r="L38" s="36"/>
      <c r="M38" s="36"/>
      <c r="N38" s="36"/>
      <c r="O38" s="36"/>
      <c r="P38" s="16"/>
    </row>
    <row r="39" spans="1:3" ht="15">
      <c r="A39" s="16" t="s">
        <v>58</v>
      </c>
      <c r="B39" t="s">
        <v>15</v>
      </c>
      <c r="C39" s="23">
        <v>0.01</v>
      </c>
    </row>
    <row r="40" spans="1:3" ht="15">
      <c r="A40" s="37" t="s">
        <v>59</v>
      </c>
      <c r="B40" s="21" t="s">
        <v>15</v>
      </c>
      <c r="C40" s="21">
        <f>C39*(C38*C14)</f>
        <v>150</v>
      </c>
    </row>
    <row r="41" ht="15">
      <c r="A41" s="16"/>
    </row>
    <row r="42" spans="1:4" ht="15">
      <c r="A42" s="37" t="s">
        <v>60</v>
      </c>
      <c r="B42" s="37"/>
      <c r="C42" s="37">
        <f>(C14/Employment!C35)*'Introduction and Summary'!C13</f>
        <v>50</v>
      </c>
      <c r="D42" s="16"/>
    </row>
    <row r="43" ht="15">
      <c r="A43" s="16"/>
    </row>
    <row r="44" spans="1:3" ht="15">
      <c r="A44" s="16" t="s">
        <v>140</v>
      </c>
      <c r="B44" s="16" t="s">
        <v>15</v>
      </c>
      <c r="C44" s="23">
        <v>0.3</v>
      </c>
    </row>
    <row r="45" spans="1:3" ht="15">
      <c r="A45" s="37" t="s">
        <v>134</v>
      </c>
      <c r="B45" s="37" t="s">
        <v>15</v>
      </c>
      <c r="C45" s="37">
        <f>C16*C44</f>
        <v>75</v>
      </c>
    </row>
    <row r="46" ht="15">
      <c r="D46" s="16"/>
    </row>
    <row r="47" spans="1:5" ht="15">
      <c r="A47" s="21" t="s">
        <v>61</v>
      </c>
      <c r="B47" s="21" t="s">
        <v>15</v>
      </c>
      <c r="C47" s="22">
        <f>('Management Flow Chart'!D29+'Management Flow Chart'!G29)/'Management Flow Chart'!D7</f>
        <v>72.128</v>
      </c>
      <c r="E47" s="58" t="s">
        <v>133</v>
      </c>
    </row>
    <row r="49" spans="1:3" ht="15">
      <c r="A49" s="16" t="s">
        <v>135</v>
      </c>
      <c r="B49" s="16" t="s">
        <v>46</v>
      </c>
      <c r="C49" s="27">
        <v>0.02</v>
      </c>
    </row>
    <row r="50" spans="1:3" ht="15">
      <c r="A50" s="37" t="s">
        <v>136</v>
      </c>
      <c r="B50" s="37" t="s">
        <v>64</v>
      </c>
      <c r="C50" s="59">
        <f>C49*(C47+C45+C42+C40+C36+C32+C27+C20+C12)</f>
        <v>20.633601666666664</v>
      </c>
    </row>
    <row r="52" spans="1:3" ht="15">
      <c r="A52" t="s">
        <v>62</v>
      </c>
      <c r="B52" t="s">
        <v>46</v>
      </c>
      <c r="C52" s="27">
        <v>0.25</v>
      </c>
    </row>
    <row r="53" spans="1:3" ht="15">
      <c r="A53" s="21" t="s">
        <v>63</v>
      </c>
      <c r="B53" s="21" t="s">
        <v>64</v>
      </c>
      <c r="C53" s="22">
        <f>C52*(C47+C45+C42+C40+C36+C32+C27+C20+C12)</f>
        <v>257.9200208333333</v>
      </c>
    </row>
    <row r="55" spans="1:3" ht="15">
      <c r="A55" s="46" t="s">
        <v>65</v>
      </c>
      <c r="B55" s="46" t="s">
        <v>64</v>
      </c>
      <c r="C55" s="47">
        <f>C12+C20+C27+C32+C36+C40+C42+C45+C47+C50+C53</f>
        <v>1310.2337058333333</v>
      </c>
    </row>
    <row r="56" spans="1:3" ht="15">
      <c r="A56" s="48"/>
      <c r="B56" s="46" t="s">
        <v>66</v>
      </c>
      <c r="C56" s="49">
        <f>C55/C16</f>
        <v>5.240934823333333</v>
      </c>
    </row>
  </sheetData>
  <sheetProtection selectLockedCells="1" selectUnlockedCells="1"/>
  <dataValidations count="1">
    <dataValidation type="list" allowBlank="1" showErrorMessage="1" sqref="C15 C17">
      <formula1>$M$17:$N$17</formula1>
      <formula2>0</formula2>
    </dataValidation>
  </dataValidations>
  <printOptions/>
  <pageMargins left="0.7" right="0.7" top="0.75" bottom="0.75" header="0.5118055555555555" footer="0.5118055555555555"/>
  <pageSetup fitToHeight="0" fitToWidth="0" horizontalDpi="300" verticalDpi="300" orientation="portrait" paperSize="9" scale="89" r:id="rId4"/>
  <colBreaks count="1" manualBreakCount="1">
    <brk id="3" max="55" man="1"/>
  </colBreaks>
  <drawing r:id="rId3"/>
  <legacyDrawing r:id="rId2"/>
</worksheet>
</file>

<file path=xl/worksheets/sheet4.xml><?xml version="1.0" encoding="utf-8"?>
<worksheet xmlns="http://schemas.openxmlformats.org/spreadsheetml/2006/main" xmlns:r="http://schemas.openxmlformats.org/officeDocument/2006/relationships">
  <dimension ref="A1:X49"/>
  <sheetViews>
    <sheetView zoomScalePageLayoutView="0" workbookViewId="0" topLeftCell="A1">
      <selection activeCell="A1" sqref="A1"/>
    </sheetView>
  </sheetViews>
  <sheetFormatPr defaultColWidth="9.140625" defaultRowHeight="15"/>
  <cols>
    <col min="1" max="1" width="73.28125" style="0" customWidth="1"/>
    <col min="3" max="3" width="14.00390625" style="0" customWidth="1"/>
    <col min="4" max="4" width="5.00390625" style="0" customWidth="1"/>
    <col min="10" max="10" width="10.00390625" style="0" customWidth="1"/>
  </cols>
  <sheetData>
    <row r="1" spans="1:5" s="10" customFormat="1" ht="27" customHeight="1">
      <c r="A1" s="110" t="s">
        <v>174</v>
      </c>
      <c r="B1" s="9"/>
      <c r="C1" s="9"/>
      <c r="D1" s="14"/>
      <c r="E1" s="14"/>
    </row>
    <row r="2" spans="1:5" s="10" customFormat="1" ht="14.25" customHeight="1">
      <c r="A2" s="9" t="s">
        <v>5</v>
      </c>
      <c r="B2" s="9"/>
      <c r="C2" s="9"/>
      <c r="D2" s="14"/>
      <c r="E2" s="14"/>
    </row>
    <row r="4" ht="15">
      <c r="A4" t="s">
        <v>67</v>
      </c>
    </row>
    <row r="6" spans="1:3" ht="15">
      <c r="A6" s="18" t="s">
        <v>31</v>
      </c>
      <c r="B6" s="19" t="s">
        <v>32</v>
      </c>
      <c r="C6" s="20" t="s">
        <v>33</v>
      </c>
    </row>
    <row r="8" spans="1:3" ht="15">
      <c r="A8" t="s">
        <v>34</v>
      </c>
      <c r="B8" t="s">
        <v>9</v>
      </c>
      <c r="C8" s="15">
        <f>'Planting Cost and Info'!C8</f>
        <v>15000000</v>
      </c>
    </row>
    <row r="9" spans="1:3" ht="15">
      <c r="A9" t="s">
        <v>35</v>
      </c>
      <c r="B9" t="s">
        <v>12</v>
      </c>
      <c r="C9" s="15">
        <f>'Planting Cost and Info'!C9</f>
        <v>10</v>
      </c>
    </row>
    <row r="11" spans="1:3" ht="15">
      <c r="A11" t="s">
        <v>68</v>
      </c>
      <c r="B11" t="s">
        <v>9</v>
      </c>
      <c r="C11" s="15">
        <f>C8/C9</f>
        <v>1500000</v>
      </c>
    </row>
    <row r="12" spans="1:3" ht="15">
      <c r="A12" t="s">
        <v>69</v>
      </c>
      <c r="B12" t="s">
        <v>70</v>
      </c>
      <c r="C12" s="15">
        <f>'Introduction and Summary'!C15</f>
        <v>46</v>
      </c>
    </row>
    <row r="13" spans="1:3" ht="15">
      <c r="A13" t="s">
        <v>71</v>
      </c>
      <c r="B13" t="s">
        <v>9</v>
      </c>
      <c r="C13" s="60">
        <f>C11/C12</f>
        <v>32608.695652173912</v>
      </c>
    </row>
    <row r="15" spans="1:3" ht="15">
      <c r="A15" t="s">
        <v>151</v>
      </c>
      <c r="C15" s="38">
        <f>C13*'Planting Cost and Info'!C14</f>
        <v>8152173.913043478</v>
      </c>
    </row>
    <row r="16" spans="1:3" ht="15">
      <c r="A16" t="s">
        <v>72</v>
      </c>
      <c r="C16" s="38">
        <f>C13*'Planting Cost and Info'!C16</f>
        <v>8152173.913043478</v>
      </c>
    </row>
    <row r="18" spans="1:3" ht="15">
      <c r="A18" t="s">
        <v>73</v>
      </c>
      <c r="B18" t="s">
        <v>74</v>
      </c>
      <c r="C18" s="23">
        <v>5</v>
      </c>
    </row>
    <row r="19" spans="1:3" ht="15">
      <c r="A19" t="s">
        <v>75</v>
      </c>
      <c r="B19" t="s">
        <v>76</v>
      </c>
      <c r="C19" s="23">
        <v>8</v>
      </c>
    </row>
    <row r="20" spans="1:3" ht="15">
      <c r="A20" t="s">
        <v>152</v>
      </c>
      <c r="C20" s="38">
        <f>C15/C18</f>
        <v>1630434.7826086956</v>
      </c>
    </row>
    <row r="22" spans="1:3" ht="15">
      <c r="A22" t="s">
        <v>77</v>
      </c>
      <c r="B22" t="s">
        <v>76</v>
      </c>
      <c r="C22" s="23">
        <v>12</v>
      </c>
    </row>
    <row r="23" spans="1:3" ht="15">
      <c r="A23" t="s">
        <v>78</v>
      </c>
      <c r="C23" s="23">
        <v>30</v>
      </c>
    </row>
    <row r="24" spans="1:3" ht="15">
      <c r="A24" t="s">
        <v>79</v>
      </c>
      <c r="C24" s="31">
        <f>C22*C23</f>
        <v>360</v>
      </c>
    </row>
    <row r="25" spans="1:3" ht="15">
      <c r="A25" t="s">
        <v>80</v>
      </c>
      <c r="C25" s="38">
        <f>ROUND(C20/C24,0)</f>
        <v>4529</v>
      </c>
    </row>
    <row r="26" spans="1:11" ht="15">
      <c r="A26" s="21" t="s">
        <v>81</v>
      </c>
      <c r="B26" s="21"/>
      <c r="C26" s="22">
        <f>ROUND(C25*C22/C19,0)</f>
        <v>6794</v>
      </c>
      <c r="K26" s="39"/>
    </row>
    <row r="28" spans="1:3" ht="15">
      <c r="A28" t="s">
        <v>153</v>
      </c>
      <c r="C28" s="23">
        <v>8</v>
      </c>
    </row>
    <row r="29" spans="1:3" ht="15">
      <c r="A29" t="s">
        <v>154</v>
      </c>
      <c r="C29" s="31">
        <f>C19*C28</f>
        <v>64</v>
      </c>
    </row>
    <row r="30" spans="1:3" ht="15">
      <c r="A30" s="21" t="s">
        <v>82</v>
      </c>
      <c r="B30" s="21"/>
      <c r="C30" s="22">
        <f>ROUND(C20/C29,0)</f>
        <v>25476</v>
      </c>
    </row>
    <row r="31" ht="15">
      <c r="A31" s="21"/>
    </row>
    <row r="32" spans="1:3" ht="15">
      <c r="A32" t="s">
        <v>155</v>
      </c>
      <c r="B32" s="21"/>
      <c r="C32" s="23">
        <v>100</v>
      </c>
    </row>
    <row r="33" spans="1:3" ht="15">
      <c r="A33" s="21" t="s">
        <v>83</v>
      </c>
      <c r="B33" s="21"/>
      <c r="C33" s="59">
        <f>((C15/C18)/C32)/C19</f>
        <v>2038.0434782608695</v>
      </c>
    </row>
    <row r="34" spans="2:3" ht="15">
      <c r="B34" s="21"/>
      <c r="C34" s="22"/>
    </row>
    <row r="35" spans="1:24" ht="15">
      <c r="A35" t="s">
        <v>156</v>
      </c>
      <c r="B35" s="25"/>
      <c r="C35" s="23">
        <v>20</v>
      </c>
      <c r="E35" s="35" t="s">
        <v>57</v>
      </c>
      <c r="F35" s="35"/>
      <c r="G35" s="35"/>
      <c r="H35" s="35"/>
      <c r="I35" s="35"/>
      <c r="J35" s="35"/>
      <c r="K35" s="35"/>
      <c r="L35" s="35"/>
      <c r="M35" s="35"/>
      <c r="N35" s="35"/>
      <c r="O35" s="16"/>
      <c r="P35" s="16"/>
      <c r="Q35" s="16"/>
      <c r="R35" s="16"/>
      <c r="S35" s="16"/>
      <c r="T35" s="16"/>
      <c r="U35" s="16"/>
      <c r="V35" s="16"/>
      <c r="W35" s="16"/>
      <c r="X35" s="16"/>
    </row>
    <row r="36" spans="1:3" ht="15">
      <c r="A36" s="21" t="s">
        <v>84</v>
      </c>
      <c r="B36" s="21"/>
      <c r="C36" s="22">
        <f>((C15/C18)/C35)/C19</f>
        <v>10190.217391304348</v>
      </c>
    </row>
    <row r="38" spans="1:3" ht="15">
      <c r="A38" t="s">
        <v>85</v>
      </c>
      <c r="B38" t="s">
        <v>76</v>
      </c>
      <c r="C38" s="23">
        <v>8</v>
      </c>
    </row>
    <row r="39" spans="1:3" ht="15">
      <c r="A39" t="s">
        <v>86</v>
      </c>
      <c r="B39" t="s">
        <v>9</v>
      </c>
      <c r="C39" s="38">
        <f>C13/C18</f>
        <v>6521.739130434782</v>
      </c>
    </row>
    <row r="40" spans="1:3" ht="15">
      <c r="A40" s="21" t="s">
        <v>87</v>
      </c>
      <c r="C40" s="22">
        <f>(C39*C38)/C19</f>
        <v>6521.739130434782</v>
      </c>
    </row>
    <row r="42" spans="1:3" ht="15">
      <c r="A42" t="s">
        <v>62</v>
      </c>
      <c r="B42" t="s">
        <v>46</v>
      </c>
      <c r="C42" s="56">
        <v>0.15</v>
      </c>
    </row>
    <row r="43" spans="1:3" ht="15">
      <c r="A43" s="21" t="s">
        <v>88</v>
      </c>
      <c r="B43" s="21"/>
      <c r="C43" s="22">
        <f>ROUND(C42*(C36+C33+C30+C26),0)</f>
        <v>6675</v>
      </c>
    </row>
    <row r="44" spans="1:3" ht="15">
      <c r="A44" s="21"/>
      <c r="B44" s="21"/>
      <c r="C44" s="22"/>
    </row>
    <row r="45" spans="1:3" ht="15">
      <c r="A45" s="21" t="s">
        <v>89</v>
      </c>
      <c r="B45" s="21"/>
      <c r="C45" s="23">
        <v>35</v>
      </c>
    </row>
    <row r="47" spans="1:3" ht="15">
      <c r="A47" s="21" t="s">
        <v>90</v>
      </c>
      <c r="B47" s="21"/>
      <c r="C47" s="63">
        <f>'Management Flow Chart'!B29*('Introduction and Summary'!C11/'Management Flow Chart'!D7)</f>
        <v>43500</v>
      </c>
    </row>
    <row r="49" spans="1:3" ht="15">
      <c r="A49" s="50" t="s">
        <v>91</v>
      </c>
      <c r="B49" s="50"/>
      <c r="C49" s="51">
        <f>C47+C43+C40+C36+C33+C30+C26</f>
        <v>101195</v>
      </c>
    </row>
  </sheetData>
  <sheetProtection selectLockedCells="1" selectUnlockedCells="1"/>
  <printOptions/>
  <pageMargins left="0.7" right="0.7" top="0.75" bottom="0.75" header="0.5118055555555555" footer="0.5118055555555555"/>
  <pageSetup horizontalDpi="300" verticalDpi="300" orientation="portrait" paperSize="9" scale="78" r:id="rId2"/>
  <colBreaks count="1" manualBreakCount="1">
    <brk id="4" max="49" man="1"/>
  </colBreaks>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53.140625" style="0" customWidth="1"/>
    <col min="2" max="2" width="17.57421875" style="0" customWidth="1"/>
    <col min="3" max="3" width="13.421875" style="0" customWidth="1"/>
    <col min="4" max="4" width="4.57421875" style="0" customWidth="1"/>
  </cols>
  <sheetData>
    <row r="1" spans="1:5" s="10" customFormat="1" ht="27" customHeight="1">
      <c r="A1" s="110" t="s">
        <v>174</v>
      </c>
      <c r="B1" s="9"/>
      <c r="C1" s="9"/>
      <c r="D1" s="14"/>
      <c r="E1" s="14"/>
    </row>
    <row r="2" spans="1:5" s="10" customFormat="1" ht="15">
      <c r="A2" s="9" t="s">
        <v>5</v>
      </c>
      <c r="B2" s="9"/>
      <c r="C2" s="9"/>
      <c r="D2" s="14"/>
      <c r="E2" s="14"/>
    </row>
    <row r="4" spans="1:3" ht="43.5" customHeight="1">
      <c r="A4" s="112" t="s">
        <v>92</v>
      </c>
      <c r="B4" s="112"/>
      <c r="C4" s="112"/>
    </row>
    <row r="6" spans="1:3" ht="15">
      <c r="A6" s="18" t="s">
        <v>31</v>
      </c>
      <c r="B6" s="19" t="s">
        <v>32</v>
      </c>
      <c r="C6" s="20" t="s">
        <v>33</v>
      </c>
    </row>
    <row r="8" spans="1:3" ht="15">
      <c r="A8" t="s">
        <v>93</v>
      </c>
      <c r="B8" t="s">
        <v>70</v>
      </c>
      <c r="C8" s="23">
        <v>52</v>
      </c>
    </row>
    <row r="10" spans="1:3" ht="15">
      <c r="A10" t="s">
        <v>94</v>
      </c>
      <c r="B10" t="s">
        <v>95</v>
      </c>
      <c r="C10" s="23">
        <v>400</v>
      </c>
    </row>
    <row r="11" spans="1:3" ht="15">
      <c r="A11" t="s">
        <v>96</v>
      </c>
      <c r="B11" t="s">
        <v>95</v>
      </c>
      <c r="C11" s="23">
        <v>200</v>
      </c>
    </row>
    <row r="13" spans="1:3" ht="15">
      <c r="A13" t="s">
        <v>97</v>
      </c>
      <c r="B13" s="40">
        <v>0.5</v>
      </c>
      <c r="C13" s="31">
        <f>C8*B13</f>
        <v>26</v>
      </c>
    </row>
    <row r="16" spans="1:3" ht="15">
      <c r="A16" t="s">
        <v>98</v>
      </c>
      <c r="C16" s="38">
        <f>Employment!C16</f>
        <v>8152173.913043478</v>
      </c>
    </row>
    <row r="17" spans="1:3" ht="15">
      <c r="A17" t="s">
        <v>99</v>
      </c>
      <c r="B17" s="27">
        <v>0.1</v>
      </c>
      <c r="C17" s="38">
        <f>C16*B17</f>
        <v>815217.3913043478</v>
      </c>
    </row>
    <row r="18" spans="1:3" ht="15">
      <c r="A18" t="s">
        <v>100</v>
      </c>
      <c r="C18" s="38">
        <f>C16+C17</f>
        <v>8967391.304347826</v>
      </c>
    </row>
    <row r="20" spans="1:3" ht="15">
      <c r="A20" t="s">
        <v>101</v>
      </c>
      <c r="B20" t="s">
        <v>26</v>
      </c>
      <c r="C20" s="38">
        <f>C18/C10</f>
        <v>22418.478260869564</v>
      </c>
    </row>
    <row r="21" spans="1:3" ht="15">
      <c r="A21" t="s">
        <v>102</v>
      </c>
      <c r="B21" t="s">
        <v>26</v>
      </c>
      <c r="C21" s="41">
        <f>C20*C13</f>
        <v>582880.4347826086</v>
      </c>
    </row>
    <row r="23" spans="1:3" ht="15">
      <c r="A23" t="s">
        <v>103</v>
      </c>
      <c r="B23" t="s">
        <v>26</v>
      </c>
      <c r="C23" s="38">
        <f>C18/C11</f>
        <v>44836.95652173913</v>
      </c>
    </row>
    <row r="24" spans="1:3" ht="15">
      <c r="A24" t="s">
        <v>104</v>
      </c>
      <c r="B24" t="s">
        <v>26</v>
      </c>
      <c r="C24" s="41">
        <f>(C8-C13)*C23</f>
        <v>1165760.8695652173</v>
      </c>
    </row>
    <row r="26" spans="1:3" ht="15">
      <c r="A26" t="s">
        <v>105</v>
      </c>
      <c r="B26" t="s">
        <v>26</v>
      </c>
      <c r="C26" s="38">
        <f>C24+C21</f>
        <v>1748641.304347826</v>
      </c>
    </row>
    <row r="27" spans="1:3" ht="15">
      <c r="A27" t="s">
        <v>106</v>
      </c>
      <c r="B27" s="27">
        <v>0.15</v>
      </c>
      <c r="C27" s="38">
        <f>C26*B27</f>
        <v>262296.1956521739</v>
      </c>
    </row>
    <row r="28" spans="2:3" ht="15">
      <c r="B28" s="64"/>
      <c r="C28" s="38"/>
    </row>
    <row r="29" spans="1:5" ht="15">
      <c r="A29" s="50" t="s">
        <v>107</v>
      </c>
      <c r="B29" s="52" t="s">
        <v>26</v>
      </c>
      <c r="C29" s="53">
        <f>SUM(C26:C27)</f>
        <v>2010937.4999999998</v>
      </c>
      <c r="E29" s="35" t="s">
        <v>108</v>
      </c>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paperSize="9" scale="75" r:id="rId2"/>
  <colBreaks count="1" manualBreakCount="1">
    <brk id="3"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A1" sqref="A1"/>
    </sheetView>
  </sheetViews>
  <sheetFormatPr defaultColWidth="9.140625" defaultRowHeight="15"/>
  <cols>
    <col min="1" max="1" width="58.57421875" style="0" customWidth="1"/>
    <col min="2" max="2" width="7.140625" style="0" bestFit="1" customWidth="1"/>
    <col min="3" max="3" width="12.00390625" style="0" bestFit="1" customWidth="1"/>
    <col min="4" max="4" width="9.00390625" style="0" bestFit="1" customWidth="1"/>
    <col min="5" max="5" width="7.140625" style="0" bestFit="1" customWidth="1"/>
    <col min="6" max="6" width="9.8515625" style="0" bestFit="1" customWidth="1"/>
    <col min="7" max="7" width="9.00390625" style="0" bestFit="1" customWidth="1"/>
  </cols>
  <sheetData>
    <row r="1" spans="1:7" ht="27" customHeight="1">
      <c r="A1" s="110" t="s">
        <v>174</v>
      </c>
      <c r="B1" s="42"/>
      <c r="C1" s="42"/>
      <c r="D1" s="42"/>
      <c r="E1" s="42"/>
      <c r="F1" s="42"/>
      <c r="G1" s="42"/>
    </row>
    <row r="2" spans="1:7" ht="14.25" customHeight="1">
      <c r="A2" s="9"/>
      <c r="B2" s="9"/>
      <c r="C2" s="9"/>
      <c r="D2" s="9"/>
      <c r="E2" s="9"/>
      <c r="F2" s="9"/>
      <c r="G2" s="9"/>
    </row>
    <row r="4" ht="15.75" thickBot="1">
      <c r="A4" t="s">
        <v>141</v>
      </c>
    </row>
    <row r="5" spans="1:4" ht="15.75" thickBot="1">
      <c r="A5" t="s">
        <v>30</v>
      </c>
      <c r="D5" s="17"/>
    </row>
    <row r="6" ht="15.75" thickBot="1"/>
    <row r="7" spans="1:4" ht="15.75" thickBot="1">
      <c r="A7" t="s">
        <v>168</v>
      </c>
      <c r="C7" s="16"/>
      <c r="D7" s="70">
        <v>10000</v>
      </c>
    </row>
    <row r="8" ht="15">
      <c r="A8" s="69" t="s">
        <v>167</v>
      </c>
    </row>
    <row r="9" ht="15">
      <c r="A9" s="69"/>
    </row>
    <row r="10" spans="1:7" ht="15">
      <c r="A10" s="18" t="s">
        <v>109</v>
      </c>
      <c r="B10" s="18" t="s">
        <v>110</v>
      </c>
      <c r="C10" s="18" t="s">
        <v>111</v>
      </c>
      <c r="D10" s="18" t="s">
        <v>112</v>
      </c>
      <c r="E10" s="18" t="s">
        <v>110</v>
      </c>
      <c r="F10" s="18" t="s">
        <v>113</v>
      </c>
      <c r="G10" s="18" t="s">
        <v>112</v>
      </c>
    </row>
    <row r="11" spans="1:7" ht="15">
      <c r="A11" t="s">
        <v>114</v>
      </c>
      <c r="B11" s="67">
        <v>1</v>
      </c>
      <c r="C11" s="43">
        <v>52000</v>
      </c>
      <c r="D11" s="57">
        <f>B11*C11</f>
        <v>52000</v>
      </c>
      <c r="E11" s="67">
        <v>1</v>
      </c>
      <c r="F11" s="43">
        <v>16000</v>
      </c>
      <c r="G11" s="57">
        <f>E11*F11</f>
        <v>16000</v>
      </c>
    </row>
    <row r="12" spans="1:7" ht="15">
      <c r="A12" t="s">
        <v>115</v>
      </c>
      <c r="B12" s="67">
        <v>1</v>
      </c>
      <c r="C12" s="43">
        <v>52000</v>
      </c>
      <c r="D12" s="57">
        <f aca="true" t="shared" si="0" ref="D12:D26">B12*C12</f>
        <v>52000</v>
      </c>
      <c r="E12" s="67">
        <v>1</v>
      </c>
      <c r="F12" s="43">
        <v>16000</v>
      </c>
      <c r="G12" s="57">
        <f aca="true" t="shared" si="1" ref="G12:G26">E12*F12</f>
        <v>16000</v>
      </c>
    </row>
    <row r="13" spans="1:7" ht="15">
      <c r="A13" t="s">
        <v>116</v>
      </c>
      <c r="B13" s="67">
        <v>0</v>
      </c>
      <c r="C13" s="43">
        <v>52000</v>
      </c>
      <c r="D13" s="57">
        <f t="shared" si="0"/>
        <v>0</v>
      </c>
      <c r="E13" s="67">
        <v>0</v>
      </c>
      <c r="F13" s="43">
        <v>16000</v>
      </c>
      <c r="G13" s="57">
        <f t="shared" si="1"/>
        <v>0</v>
      </c>
    </row>
    <row r="14" spans="1:7" ht="15">
      <c r="A14" t="s">
        <v>117</v>
      </c>
      <c r="B14" s="67">
        <v>1</v>
      </c>
      <c r="C14" s="43">
        <v>30000</v>
      </c>
      <c r="D14" s="57">
        <f t="shared" si="0"/>
        <v>30000</v>
      </c>
      <c r="E14" s="67">
        <v>1</v>
      </c>
      <c r="F14" s="43">
        <v>16000</v>
      </c>
      <c r="G14" s="57">
        <f t="shared" si="1"/>
        <v>16000</v>
      </c>
    </row>
    <row r="15" spans="1:7" ht="15">
      <c r="A15" t="s">
        <v>118</v>
      </c>
      <c r="B15" s="67">
        <v>1</v>
      </c>
      <c r="C15" s="43">
        <v>26000</v>
      </c>
      <c r="D15" s="57">
        <f t="shared" si="0"/>
        <v>26000</v>
      </c>
      <c r="E15" s="67">
        <v>1</v>
      </c>
      <c r="F15" s="43">
        <v>9000</v>
      </c>
      <c r="G15" s="57">
        <f t="shared" si="1"/>
        <v>9000</v>
      </c>
    </row>
    <row r="16" spans="1:7" ht="15">
      <c r="A16" t="s">
        <v>119</v>
      </c>
      <c r="B16" s="67">
        <v>1</v>
      </c>
      <c r="C16" s="43">
        <v>26000</v>
      </c>
      <c r="D16" s="57">
        <f t="shared" si="0"/>
        <v>26000</v>
      </c>
      <c r="E16" s="67">
        <v>1</v>
      </c>
      <c r="F16" s="43">
        <v>9000</v>
      </c>
      <c r="G16" s="57">
        <f t="shared" si="1"/>
        <v>9000</v>
      </c>
    </row>
    <row r="17" spans="1:7" ht="15">
      <c r="A17" t="s">
        <v>120</v>
      </c>
      <c r="B17" s="67">
        <v>1</v>
      </c>
      <c r="C17" s="43">
        <v>26000</v>
      </c>
      <c r="D17" s="57">
        <f t="shared" si="0"/>
        <v>26000</v>
      </c>
      <c r="E17" s="67">
        <v>0</v>
      </c>
      <c r="F17" s="43">
        <v>9000</v>
      </c>
      <c r="G17" s="57">
        <f t="shared" si="1"/>
        <v>0</v>
      </c>
    </row>
    <row r="18" spans="1:7" ht="15">
      <c r="A18" t="s">
        <v>121</v>
      </c>
      <c r="B18" s="67">
        <v>1</v>
      </c>
      <c r="C18" s="43">
        <v>52000</v>
      </c>
      <c r="D18" s="57">
        <f t="shared" si="0"/>
        <v>52000</v>
      </c>
      <c r="E18" s="67">
        <v>1</v>
      </c>
      <c r="F18" s="43">
        <v>9000</v>
      </c>
      <c r="G18" s="57">
        <f t="shared" si="1"/>
        <v>9000</v>
      </c>
    </row>
    <row r="19" spans="1:7" ht="15">
      <c r="A19" t="s">
        <v>122</v>
      </c>
      <c r="B19" s="67">
        <v>1</v>
      </c>
      <c r="C19" s="43">
        <v>52000</v>
      </c>
      <c r="D19" s="57">
        <f t="shared" si="0"/>
        <v>52000</v>
      </c>
      <c r="E19" s="67">
        <v>1</v>
      </c>
      <c r="F19" s="43">
        <v>9000</v>
      </c>
      <c r="G19" s="57">
        <f t="shared" si="1"/>
        <v>9000</v>
      </c>
    </row>
    <row r="20" spans="1:7" ht="15">
      <c r="A20" t="s">
        <v>123</v>
      </c>
      <c r="B20" s="67">
        <v>1</v>
      </c>
      <c r="C20" s="43">
        <v>26000</v>
      </c>
      <c r="D20" s="57">
        <f t="shared" si="0"/>
        <v>26000</v>
      </c>
      <c r="E20" s="67">
        <v>1</v>
      </c>
      <c r="F20" s="43">
        <v>9000</v>
      </c>
      <c r="G20" s="57">
        <f t="shared" si="1"/>
        <v>9000</v>
      </c>
    </row>
    <row r="21" spans="1:7" ht="15">
      <c r="A21" t="s">
        <v>124</v>
      </c>
      <c r="B21" s="67">
        <v>1</v>
      </c>
      <c r="C21" s="43">
        <v>26000</v>
      </c>
      <c r="D21" s="57">
        <f t="shared" si="0"/>
        <v>26000</v>
      </c>
      <c r="E21" s="67">
        <v>1</v>
      </c>
      <c r="F21" s="43">
        <v>9000</v>
      </c>
      <c r="G21" s="57">
        <f t="shared" si="1"/>
        <v>9000</v>
      </c>
    </row>
    <row r="22" spans="1:7" ht="15">
      <c r="A22" t="s">
        <v>125</v>
      </c>
      <c r="B22" s="67">
        <v>1</v>
      </c>
      <c r="C22" s="43">
        <v>26000</v>
      </c>
      <c r="D22" s="57">
        <f t="shared" si="0"/>
        <v>26000</v>
      </c>
      <c r="E22" s="67">
        <v>1</v>
      </c>
      <c r="F22" s="43">
        <v>9000</v>
      </c>
      <c r="G22" s="57">
        <f t="shared" si="1"/>
        <v>9000</v>
      </c>
    </row>
    <row r="23" spans="1:7" ht="15">
      <c r="A23" t="s">
        <v>126</v>
      </c>
      <c r="B23" s="67">
        <v>1</v>
      </c>
      <c r="C23" s="43">
        <v>26000</v>
      </c>
      <c r="D23" s="57">
        <f t="shared" si="0"/>
        <v>26000</v>
      </c>
      <c r="E23" s="67">
        <v>1</v>
      </c>
      <c r="F23" s="43">
        <v>9000</v>
      </c>
      <c r="G23" s="57">
        <f t="shared" si="1"/>
        <v>9000</v>
      </c>
    </row>
    <row r="24" spans="1:7" ht="15">
      <c r="A24" t="s">
        <v>127</v>
      </c>
      <c r="B24" s="67">
        <v>1</v>
      </c>
      <c r="C24" s="65">
        <v>26000</v>
      </c>
      <c r="D24" s="57">
        <f t="shared" si="0"/>
        <v>26000</v>
      </c>
      <c r="E24" s="67">
        <v>0</v>
      </c>
      <c r="F24" s="43">
        <v>9000</v>
      </c>
      <c r="G24" s="57">
        <f t="shared" si="1"/>
        <v>0</v>
      </c>
    </row>
    <row r="25" spans="1:7" ht="15">
      <c r="A25" t="s">
        <v>128</v>
      </c>
      <c r="B25" s="67">
        <v>0</v>
      </c>
      <c r="C25" s="66">
        <v>52000</v>
      </c>
      <c r="D25" s="57">
        <f t="shared" si="0"/>
        <v>0</v>
      </c>
      <c r="E25" s="67">
        <v>0</v>
      </c>
      <c r="F25" s="43">
        <v>9000</v>
      </c>
      <c r="G25" s="57">
        <f t="shared" si="1"/>
        <v>0</v>
      </c>
    </row>
    <row r="26" spans="1:7" ht="15">
      <c r="A26" t="s">
        <v>129</v>
      </c>
      <c r="B26" s="67">
        <v>3</v>
      </c>
      <c r="C26" s="66">
        <v>14400</v>
      </c>
      <c r="D26" s="57">
        <f t="shared" si="0"/>
        <v>43200</v>
      </c>
      <c r="E26" s="67">
        <v>2</v>
      </c>
      <c r="F26" s="43">
        <v>9000</v>
      </c>
      <c r="G26" s="57">
        <f t="shared" si="1"/>
        <v>18000</v>
      </c>
    </row>
    <row r="27" spans="1:7" ht="15">
      <c r="A27" t="s">
        <v>130</v>
      </c>
      <c r="B27" s="16">
        <f>SUM(B11:B26)</f>
        <v>16</v>
      </c>
      <c r="C27" s="16"/>
      <c r="D27" s="15">
        <f>SUM(D11:D26)</f>
        <v>489200</v>
      </c>
      <c r="E27" s="57">
        <f>SUM(E11:E26)</f>
        <v>13</v>
      </c>
      <c r="F27" s="16"/>
      <c r="G27" s="15">
        <f>SUM(G11:G26)</f>
        <v>138000</v>
      </c>
    </row>
    <row r="28" spans="1:7" ht="15">
      <c r="A28" t="s">
        <v>62</v>
      </c>
      <c r="B28" s="27">
        <v>0.15</v>
      </c>
      <c r="C28" s="16"/>
      <c r="D28" s="15">
        <f>D27*B28</f>
        <v>73380</v>
      </c>
      <c r="E28" s="27">
        <v>0.15</v>
      </c>
      <c r="F28" s="16"/>
      <c r="G28" s="15">
        <f>G27*E28</f>
        <v>20700</v>
      </c>
    </row>
    <row r="29" spans="1:9" ht="15">
      <c r="A29" s="50" t="s">
        <v>131</v>
      </c>
      <c r="B29" s="54">
        <f>B27+E27</f>
        <v>29</v>
      </c>
      <c r="C29" s="52"/>
      <c r="D29" s="55">
        <f>SUM(D27:D28)</f>
        <v>562580</v>
      </c>
      <c r="E29" s="55"/>
      <c r="F29" s="52"/>
      <c r="G29" s="55">
        <f>SUM(G27:G28)</f>
        <v>158700</v>
      </c>
      <c r="I29" s="38"/>
    </row>
  </sheetData>
  <sheetProtection selectLockedCells="1" selectUnlockedCells="1"/>
  <printOptions/>
  <pageMargins left="0.7" right="0.7" top="0.75" bottom="0.75" header="0.5118055555555555" footer="0.5118055555555555"/>
  <pageSetup fitToHeight="0"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PieterHoff</cp:lastModifiedBy>
  <dcterms:created xsi:type="dcterms:W3CDTF">2013-05-26T04:57:58Z</dcterms:created>
  <dcterms:modified xsi:type="dcterms:W3CDTF">2015-06-28T19:34:48Z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