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65526" windowWidth="20740" windowHeight="9700" tabRatio="853" activeTab="0"/>
  </bookViews>
  <sheets>
    <sheet name="Front page" sheetId="1" r:id="rId1"/>
    <sheet name="Introduction and Summary" sheetId="2" r:id="rId2"/>
    <sheet name="Annual advantages" sheetId="3" r:id="rId3"/>
    <sheet name="Planting Cost and Info" sheetId="4" r:id="rId4"/>
    <sheet name="Employment" sheetId="5" r:id="rId5"/>
    <sheet name="Nursery" sheetId="6" r:id="rId6"/>
    <sheet name="Management Flow Chart" sheetId="7" r:id="rId7"/>
  </sheets>
  <definedNames>
    <definedName name="_xlnm.Print_Area" localSheetId="4">'Employment'!$A$1:$C$49</definedName>
    <definedName name="_xlnm.Print_Area" localSheetId="0">'Front page'!$A$1:$A$32</definedName>
    <definedName name="_xlnm.Print_Area" localSheetId="1">'Introduction and Summary'!$A$1:$C$26</definedName>
    <definedName name="_xlnm.Print_Area" localSheetId="5">'Nursery'!$A$1:$C$29</definedName>
    <definedName name="_xlnm.Print_Area" localSheetId="3">'Planting Cost and Info'!$A$1:$C$59</definedName>
  </definedNames>
  <calcPr fullCalcOnLoad="1"/>
</workbook>
</file>

<file path=xl/comments3.xml><?xml version="1.0" encoding="utf-8"?>
<comments xmlns="http://schemas.openxmlformats.org/spreadsheetml/2006/main">
  <authors>
    <author>PieterHoff</author>
  </authors>
  <commentList>
    <comment ref="B20" authorId="0">
      <text>
        <r>
          <rPr>
            <b/>
            <sz val="9"/>
            <rFont val="Tahoma"/>
            <family val="2"/>
          </rPr>
          <t xml:space="preserve">Scientific sources: THE UNIVERSITY OF STUTTGART CLAIMS THAT JATROPHA DISCONNECTS 25 TONNES OF CO2 PER HECTARE
https://www.uni-hohenheim.de/news/studie-carbon-farming-
biomasse-plantagen-in-wuestenregionen-koennten-klimawandel-
mildern-8
THE UNIVERSITY OF BOULDER COLORADO CLAIMS THAT TREES DISCONNECT NOW 100% MORE CARBON THAN 50 YEARS AGO THIS IS LOGIC, SHELL IS SELLING CO2 TO GROWERS IN HOLLAND AS A FERTILIZER
http://www.colorado.edu/news/releases/2012/08/01/earth-still-
absorbing-co2-even-emissions-rise-says-new-cu-led-study
</t>
        </r>
        <r>
          <rPr>
            <sz val="9"/>
            <rFont val="Tahoma"/>
            <family val="2"/>
          </rPr>
          <t xml:space="preserve">
</t>
        </r>
      </text>
    </comment>
  </commentList>
</comments>
</file>

<file path=xl/comments4.xml><?xml version="1.0" encoding="utf-8"?>
<comments xmlns="http://schemas.openxmlformats.org/spreadsheetml/2006/main">
  <authors>
    <author/>
  </authors>
  <commentList>
    <comment ref="A33" authorId="0">
      <text>
        <r>
          <rPr>
            <b/>
            <sz val="9"/>
            <color indexed="8"/>
            <rFont val="Tahoma"/>
            <family val="2"/>
          </rPr>
          <t xml:space="preserve">This is based on a crane drill of 40K and a water car plus little tractor og 60K making 1 hole a time, plus energy, using it 6 years. </t>
        </r>
      </text>
    </comment>
  </commentList>
</comments>
</file>

<file path=xl/sharedStrings.xml><?xml version="1.0" encoding="utf-8"?>
<sst xmlns="http://schemas.openxmlformats.org/spreadsheetml/2006/main" count="281" uniqueCount="193">
  <si>
    <t>This document is a template with general assumptions.</t>
  </si>
  <si>
    <t>Pieter Hoff</t>
  </si>
  <si>
    <t>phoff@groasis.com</t>
  </si>
  <si>
    <t>© Wout Hoff - this model is the intellectual property of Groasis - Holland</t>
  </si>
  <si>
    <r>
      <t xml:space="preserve">                                            </t>
    </r>
    <r>
      <rPr>
        <b/>
        <i/>
        <sz val="11"/>
        <color indexed="8"/>
        <rFont val="Calibri"/>
        <family val="2"/>
      </rPr>
      <t>make wasteland productive again</t>
    </r>
  </si>
  <si>
    <t xml:space="preserve">                                      </t>
  </si>
  <si>
    <t>Project Introduction:</t>
  </si>
  <si>
    <t>Project Summary:</t>
  </si>
  <si>
    <t>PLEASE FILL OUT THE SIZE OF YOUR PROJECT</t>
  </si>
  <si>
    <t>ha</t>
  </si>
  <si>
    <t>Note: Change number of hectares according to your needs, and the calculations will change accordingly</t>
  </si>
  <si>
    <t>PLEASE FILL OUT THE DURATION OF YOUR PROJECT</t>
  </si>
  <si>
    <t>years</t>
  </si>
  <si>
    <t>Note: Change number of years you want to plant according to your needs, and the calculations will change accordingly</t>
  </si>
  <si>
    <t>PLEASE FILL OUT THE GROSS WAGE OF ONE PLANTER PER HOUR</t>
  </si>
  <si>
    <t>Note: Change hourly wage according to your practical situation, and the calculations will change accordingly</t>
  </si>
  <si>
    <t>PLEASE FILL OUT HOW MANY WEEKS PER YEAR YOU PLANT</t>
  </si>
  <si>
    <t>Note: Reduce 52 weeks of the year with weeks you don't plant (e.g. holidays, religious periods, etc.) and fill out the left over weeks</t>
  </si>
  <si>
    <t>Project planting speed in hectares per week</t>
  </si>
  <si>
    <t>ha/week</t>
  </si>
  <si>
    <t>Annual investment</t>
  </si>
  <si>
    <t>Investment per hectare</t>
  </si>
  <si>
    <t>staff/year</t>
  </si>
  <si>
    <t>Nursery size</t>
  </si>
  <si>
    <t>m2</t>
  </si>
  <si>
    <t>Number of trees alive at project completion</t>
  </si>
  <si>
    <t>Guidance Notes:</t>
  </si>
  <si>
    <t>Please only change the values in light yellow cells:</t>
  </si>
  <si>
    <t>INPUT</t>
  </si>
  <si>
    <t>Units</t>
  </si>
  <si>
    <t>Single value</t>
  </si>
  <si>
    <t>Project size</t>
  </si>
  <si>
    <t>Planting duration</t>
  </si>
  <si>
    <t>Cleaning costs per ha (weeds/invasive species)</t>
  </si>
  <si>
    <t>Total cleaning costs per ha</t>
  </si>
  <si>
    <t>Select value from drop down list</t>
  </si>
  <si>
    <t>Price of variety 1</t>
  </si>
  <si>
    <t>Price of variety 2</t>
  </si>
  <si>
    <t>Cost of trees per ha</t>
  </si>
  <si>
    <t>Expected survival rate</t>
  </si>
  <si>
    <t>%</t>
  </si>
  <si>
    <t>Number of surviving trees per ha</t>
  </si>
  <si>
    <t>Number of m2 per surviving tree</t>
  </si>
  <si>
    <t xml:space="preserve">Important note: add the price of your offer. The filled out price is not a market price, as the price depends on the numbers </t>
  </si>
  <si>
    <t>Number of planting holes drilled per ha</t>
  </si>
  <si>
    <t>Cost of machinery of drilling per planting hole</t>
  </si>
  <si>
    <t>Drilling costs wages per planting hole</t>
  </si>
  <si>
    <t>Cost of drilling planting holes per ha</t>
  </si>
  <si>
    <t>Housing, food, transport, medical care for the personnel, etc., estimated per box</t>
  </si>
  <si>
    <t>Cost of planting per ha</t>
  </si>
  <si>
    <t>liter</t>
  </si>
  <si>
    <t>Cost of water per liter incl. logistics</t>
  </si>
  <si>
    <t>Cost of water per ha incl. logistics</t>
  </si>
  <si>
    <t>Water giving</t>
  </si>
  <si>
    <t>Cost of management and organization per ha</t>
  </si>
  <si>
    <t>Unforeseen</t>
  </si>
  <si>
    <t>Unforeseen cost estimate per ha</t>
  </si>
  <si>
    <t>Total estimated planting cost</t>
  </si>
  <si>
    <t>This page describes how to organize this project and provides an overview of employment generated</t>
  </si>
  <si>
    <t>Area planted per annum</t>
  </si>
  <si>
    <t>Number of planting weeks</t>
  </si>
  <si>
    <t>weeks</t>
  </si>
  <si>
    <t>Area planted per week</t>
  </si>
  <si>
    <t>Number of trees per week</t>
  </si>
  <si>
    <t>Number of working days per week</t>
  </si>
  <si>
    <t>days</t>
  </si>
  <si>
    <t>Length of a working shift</t>
  </si>
  <si>
    <t>hours</t>
  </si>
  <si>
    <t>Number of hours per day of drilling holes</t>
  </si>
  <si>
    <t>Number of holes drilled per hour</t>
  </si>
  <si>
    <t>Number of holes drilled per day per drill</t>
  </si>
  <si>
    <t>Number of drills needed for planting holes</t>
  </si>
  <si>
    <t>Number of drill drivers needed</t>
  </si>
  <si>
    <t>Number of planters needed</t>
  </si>
  <si>
    <t>Internal transport while planting</t>
  </si>
  <si>
    <t>Water gift while planting</t>
  </si>
  <si>
    <t>Cleaning time per ha (weeds/invasive species)</t>
  </si>
  <si>
    <t>Number of hectares to be cleaned per day</t>
  </si>
  <si>
    <t>Number of cleaners needed</t>
  </si>
  <si>
    <t>Unforeseen labor estimate</t>
  </si>
  <si>
    <t>Housing costs per laborer per day</t>
  </si>
  <si>
    <t>Management</t>
  </si>
  <si>
    <t>Total laborers needed for project planting incl. management</t>
  </si>
  <si>
    <t>This pages describes the size of the nursery you need in order to produce the young trees/bushes prior to planting them.</t>
  </si>
  <si>
    <t>Plant density in nursery, first part of nursery time, polystyrene trays</t>
  </si>
  <si>
    <t>plants/gross m2</t>
  </si>
  <si>
    <t>Plant density in nursery, remaining weeks, polystyrene trays</t>
  </si>
  <si>
    <t>Nursery time in weeks with 800 plants per m2</t>
  </si>
  <si>
    <t>Net number of plants required per week</t>
  </si>
  <si>
    <t>Plant loss during production in nursery</t>
  </si>
  <si>
    <t>Gross number of plants required per week</t>
  </si>
  <si>
    <t>Gross size for first one week output</t>
  </si>
  <si>
    <t>Total gross size for output requirements, first period of production</t>
  </si>
  <si>
    <t>Gross size per week for remaining weeks</t>
  </si>
  <si>
    <t>Total gross size for output requirements, last period of production</t>
  </si>
  <si>
    <t>Total needed nursery size (net area)</t>
  </si>
  <si>
    <t>Percentage of unused area in greenhouse (paths)</t>
  </si>
  <si>
    <t>Total needed nursery size (gross area)</t>
  </si>
  <si>
    <t>Note: it is assumed that the production costs of the nursery and equipment are included in the cost price of young trees (see tab 'Planting Cost and Info').</t>
  </si>
  <si>
    <t xml:space="preserve">                                             make wasteland productive again</t>
  </si>
  <si>
    <t>Input</t>
  </si>
  <si>
    <t>Number</t>
  </si>
  <si>
    <t>Annual salary</t>
  </si>
  <si>
    <t>Officecosts</t>
  </si>
  <si>
    <t>General manager</t>
  </si>
  <si>
    <t>Financial manager</t>
  </si>
  <si>
    <t>Marketing and sales</t>
  </si>
  <si>
    <t>Human resources</t>
  </si>
  <si>
    <t>Assistant general manager</t>
  </si>
  <si>
    <t>Quality control</t>
  </si>
  <si>
    <t>Communication</t>
  </si>
  <si>
    <t>Nursery</t>
  </si>
  <si>
    <t>Forestry</t>
  </si>
  <si>
    <t>Logistics</t>
  </si>
  <si>
    <t>Mechanics</t>
  </si>
  <si>
    <t>Food &amp; Health</t>
  </si>
  <si>
    <t>Security</t>
  </si>
  <si>
    <t>Doctor</t>
  </si>
  <si>
    <t>Legal</t>
  </si>
  <si>
    <t>Supporting personnel</t>
  </si>
  <si>
    <t>Subtotal</t>
  </si>
  <si>
    <t>Total management costs</t>
  </si>
  <si>
    <t>Note: if the project period is shorter than one year, you have to divide the result by 52 and multiply with the number of weeks that the project takes</t>
  </si>
  <si>
    <t>Cost of protection against animals per ha</t>
  </si>
  <si>
    <t>Safety costs / protection of the area</t>
  </si>
  <si>
    <t>Total safety and protection costs</t>
  </si>
  <si>
    <t>Price per tonne CO₂ reduction during all period</t>
  </si>
  <si>
    <t xml:space="preserve">Water need per box </t>
  </si>
  <si>
    <t>Protection of trees against animals with Growsafe Telescoprotexx</t>
  </si>
  <si>
    <t>This page describes the management costs</t>
  </si>
  <si>
    <t>Note: this is a simplified model to give a quick survey of the estimated costs associated with a tree planting project in deserts, eroded or rocky areas when using the Groasis Growboxx. The model does not aim to be a full representation of the implications.</t>
  </si>
  <si>
    <t>This page describes the process of planting the desert area with Groasis Growboxxes.</t>
  </si>
  <si>
    <t>Number of trees per Groasis Growboxx</t>
  </si>
  <si>
    <t>Total cost per Groasis Growboxx</t>
  </si>
  <si>
    <t>Cost of Groasis Growboxxes per ha</t>
  </si>
  <si>
    <t>Planting costs wages per Groasis Growboxx</t>
  </si>
  <si>
    <t>Number of Groasis Growboxxes per week</t>
  </si>
  <si>
    <t>Number of Groasis Growboxxes per working day</t>
  </si>
  <si>
    <t>Number of Groasis Growboxxes assembled and planted per man per hour</t>
  </si>
  <si>
    <t>Number of Groasis Growboxxes planted per working shift</t>
  </si>
  <si>
    <t>Internal transport of Groasis Growboxxes and plants per man hour</t>
  </si>
  <si>
    <t>Number of planting holes and Groasis Growboxxes  water gift per man hour</t>
  </si>
  <si>
    <t>Minimum plant age before planting in Groasis Growboxxes</t>
  </si>
  <si>
    <t>Note: in dry circumstances you have to fill the planting holes with 20 to 40 liters of water, one day before planting. After the planting you fill the middle opening of the Groasis Growboxx with 4 liters and the Groasis Growboxx itself with 16 liters</t>
  </si>
  <si>
    <t>PLEASE FILL OUT THE NUMBER OF GROWBOXXES PER HA</t>
  </si>
  <si>
    <t>Please finetune the assumptions so that the shown figures are correct for your specific project</t>
  </si>
  <si>
    <t>Price of variety 3</t>
  </si>
  <si>
    <t>Price of variety 4</t>
  </si>
  <si>
    <t>Price of variety 5</t>
  </si>
  <si>
    <t>Select value from drop down list - if planting 2 varieties, split assumed 50%-50% // if planting 5 variets, one of each is planted</t>
  </si>
  <si>
    <t>Number of varieties planted</t>
  </si>
  <si>
    <t>Number of trees planted per ha</t>
  </si>
  <si>
    <t>Total (USD)</t>
  </si>
  <si>
    <t>Using the Groasis Technology</t>
  </si>
  <si>
    <t xml:space="preserve">This includes the cost of the nursery if grown locally </t>
  </si>
  <si>
    <t>Seed or miniplug</t>
  </si>
  <si>
    <t>Number of Groasis Growboxxes / planting holes</t>
  </si>
  <si>
    <t>Standard the management costs are taken per 100.000 hectares</t>
  </si>
  <si>
    <t>Price per tree</t>
  </si>
  <si>
    <t>Investment per acre</t>
  </si>
  <si>
    <t>Groasis Growboxx® plant cocoon</t>
  </si>
  <si>
    <t xml:space="preserve">with the disposable biodegradable </t>
  </si>
  <si>
    <t>PLEASE FILL OUT THE GROSS SALES PER HA</t>
  </si>
  <si>
    <t>PLEASE FILL OUT THE NUMBER OF DIRECT JOBS PER HA</t>
  </si>
  <si>
    <t>PLEASE FILL OUT THE NUMBER OF INDIRECT JOBS PER HA</t>
  </si>
  <si>
    <t>Note: Change gross sales per ha if the fruit, medicines, oils, timber, etc. offers higher revenues</t>
  </si>
  <si>
    <t>Note: planting, maintenance, harvesting, etc.</t>
  </si>
  <si>
    <t>Note: Processing industry, local developing economy of services, construction, trading, etc.</t>
  </si>
  <si>
    <t>Total direct employment generated to organize the project</t>
  </si>
  <si>
    <t>Note: revenues of productive trees start app. 5 years after planting</t>
  </si>
  <si>
    <r>
      <t>Note: because of the low precipitation, we want 40 m</t>
    </r>
    <r>
      <rPr>
        <sz val="11"/>
        <color indexed="8"/>
        <rFont val="Calibri"/>
        <family val="2"/>
      </rPr>
      <t>²</t>
    </r>
    <r>
      <rPr>
        <i/>
        <sz val="11"/>
        <color indexed="8"/>
        <rFont val="Calibri"/>
        <family val="2"/>
      </rPr>
      <t xml:space="preserve"> per tree</t>
    </r>
  </si>
  <si>
    <t>The size of the Project</t>
  </si>
  <si>
    <t>PLEASE FILL OUT THE FOOD PRODUCTION PER HA</t>
  </si>
  <si>
    <t>tonnes</t>
  </si>
  <si>
    <t>Food production</t>
  </si>
  <si>
    <t>Annual gross sales once project is completed</t>
  </si>
  <si>
    <t>jobs</t>
  </si>
  <si>
    <t>trees</t>
  </si>
  <si>
    <t>The Treesolution for the World</t>
  </si>
  <si>
    <t>Fill out the area that you wish to restore with Agroforestry</t>
  </si>
  <si>
    <t>After how many years is the World CO₂ neutral?</t>
  </si>
  <si>
    <t>Note: the CO₂ emissions from fossil fuels are 33,4b tonnes</t>
  </si>
  <si>
    <t>Note: after 50 years we disconnect the present annual emissions plus 6.6b tonnes of historical emissions</t>
  </si>
  <si>
    <t>USD</t>
  </si>
  <si>
    <t>USD/ha</t>
  </si>
  <si>
    <t>USD/tree</t>
  </si>
  <si>
    <t>One time project planting investment (money to be put in microcredit fund)</t>
  </si>
  <si>
    <t>Total CO₂ reduction in tonnes per year after planting is finished</t>
  </si>
  <si>
    <t>Total CO₂ reduction in tonnes in 100 years after planting</t>
  </si>
  <si>
    <t>The Groasis Growboxx is an innovative biodegradable disposable device made of cellulose that helps you to plant trees and bushes on degraded soil without using irrigation.</t>
  </si>
  <si>
    <t>Total indirect jobs generated with productive trees  - 0.5 job per each hectare</t>
  </si>
  <si>
    <t>Total direct jobs generated with productive trees  - 0.5 job per each hectare</t>
  </si>
  <si>
    <t>Note: if we put 52.8bn in a micro-credit fund as a one time investment, we can plant the 2bn hectares in 60 years with productive trees</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</si>
</sst>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yyyy"/>
    <numFmt numFmtId="173" formatCode="_-* #,##0.00_-;\-* #,##0.00_-;_-* \-??_-;_-@_-"/>
    <numFmt numFmtId="174" formatCode="_-* #,##0_-;\-* #,##0_-;_-* \-??_-;_-@_-"/>
    <numFmt numFmtId="175" formatCode="_-* #,##0.0_-;\-* #,##0.0_-;_-* \-??_-;_-@_-"/>
    <numFmt numFmtId="176" formatCode="0.0000000"/>
    <numFmt numFmtId="177" formatCode="0.000000"/>
    <numFmt numFmtId="178" formatCode="0.00000"/>
    <numFmt numFmtId="179" formatCode="0.0000"/>
    <numFmt numFmtId="180" formatCode="0.000"/>
    <numFmt numFmtId="181" formatCode="0.0"/>
    <numFmt numFmtId="182" formatCode="_-* #,##0.000_-;\-* #,##0.000_-;_-* \-??_-;_-@_-"/>
    <numFmt numFmtId="183" formatCode="_-* #,##0.0000_-;\-* #,##0.0000_-;_-* \-??_-;_-@_-"/>
    <numFmt numFmtId="184" formatCode="_-* #,##0.00000_-;\-* #,##0.00000_-;_-* \-??_-;_-@_-"/>
    <numFmt numFmtId="185" formatCode="_-* #,##0.000000_-;\-* #,##0.000000_-;_-* \-??_-;_-@_-"/>
    <numFmt numFmtId="186" formatCode="_-* #,##0.0000000_-;\-* #,##0.0000000_-;_-* \-??_-;_-@_-"/>
    <numFmt numFmtId="187" formatCode="_-* #,##0.00000000_-;\-* #,##0.00000000_-;_-* \-??_-;_-@_-"/>
    <numFmt numFmtId="188" formatCode="00.00.00.000"/>
    <numFmt numFmtId="189" formatCode="[$-413]dddd\ d\ mmmm\ yyyy"/>
    <numFmt numFmtId="190" formatCode="0.00000000"/>
    <numFmt numFmtId="191" formatCode="#,##0.00_ ;\-#,##0.00\ "/>
    <numFmt numFmtId="192" formatCode="#,##0_ ;\-#,##0\ "/>
    <numFmt numFmtId="193" formatCode="&quot;€&quot;\ #,##0.00"/>
    <numFmt numFmtId="194" formatCode="&quot;€&quot;\ #,##0.0"/>
    <numFmt numFmtId="195" formatCode="&quot;€&quot;\ #,##0"/>
  </numFmts>
  <fonts count="59">
    <font>
      <sz val="11"/>
      <color indexed="8"/>
      <name val="Calibri"/>
      <family val="2"/>
    </font>
    <font>
      <sz val="10"/>
      <name val="Arial"/>
      <family val="0"/>
    </font>
    <font>
      <sz val="10"/>
      <name val="Calibri"/>
      <family val="2"/>
    </font>
    <font>
      <i/>
      <sz val="18"/>
      <name val="Calibri"/>
      <family val="2"/>
    </font>
    <font>
      <b/>
      <i/>
      <sz val="20"/>
      <color indexed="9"/>
      <name val="Calibri"/>
      <family val="2"/>
    </font>
    <font>
      <sz val="12"/>
      <name val="Calibri"/>
      <family val="2"/>
    </font>
    <font>
      <b/>
      <sz val="12"/>
      <color indexed="9"/>
      <name val="Calibri"/>
      <family val="2"/>
    </font>
    <font>
      <sz val="9"/>
      <name val="Arial"/>
      <family val="2"/>
    </font>
    <font>
      <sz val="12"/>
      <color indexed="9"/>
      <name val="Calibri"/>
      <family val="2"/>
    </font>
    <font>
      <u val="single"/>
      <sz val="10"/>
      <color indexed="12"/>
      <name val="Arial"/>
      <family val="2"/>
    </font>
    <font>
      <sz val="10"/>
      <color indexed="9"/>
      <name val="Calibri"/>
      <family val="2"/>
    </font>
    <font>
      <b/>
      <i/>
      <sz val="11"/>
      <color indexed="8"/>
      <name val="Calibri"/>
      <family val="2"/>
    </font>
    <font>
      <b/>
      <u val="single"/>
      <sz val="11"/>
      <color indexed="8"/>
      <name val="Calibri"/>
      <family val="2"/>
    </font>
    <font>
      <i/>
      <sz val="11"/>
      <color indexed="8"/>
      <name val="Calibri"/>
      <family val="2"/>
    </font>
    <font>
      <u val="single"/>
      <sz val="11"/>
      <color indexed="8"/>
      <name val="Calibri"/>
      <family val="2"/>
    </font>
    <font>
      <sz val="11"/>
      <color indexed="26"/>
      <name val="Calibri"/>
      <family val="2"/>
    </font>
    <font>
      <i/>
      <sz val="11"/>
      <name val="Calibri"/>
      <family val="2"/>
    </font>
    <font>
      <sz val="11"/>
      <name val="Calibri"/>
      <family val="2"/>
    </font>
    <font>
      <b/>
      <sz val="9"/>
      <color indexed="8"/>
      <name val="Tahoma"/>
      <family val="2"/>
    </font>
    <font>
      <b/>
      <sz val="11"/>
      <color indexed="8"/>
      <name val="Calibri"/>
      <family val="2"/>
    </font>
    <font>
      <sz val="9"/>
      <name val="Tahoma"/>
      <family val="2"/>
    </font>
    <font>
      <b/>
      <sz val="9"/>
      <name val="Tahoma"/>
      <family val="2"/>
    </font>
    <font>
      <b/>
      <i/>
      <sz val="24"/>
      <color indexed="9"/>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i/>
      <sz val="24"/>
      <color theme="0"/>
      <name val="Calibri"/>
      <family val="2"/>
    </font>
    <font>
      <sz val="10"/>
      <color theme="0"/>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13"/>
        <bgColor indexed="64"/>
      </patternFill>
    </fill>
    <fill>
      <patternFill patternType="solid">
        <fgColor indexed="17"/>
        <bgColor indexed="64"/>
      </patternFill>
    </fill>
    <fill>
      <patternFill patternType="solid">
        <fgColor indexed="43"/>
        <bgColor indexed="64"/>
      </patternFill>
    </fill>
    <fill>
      <patternFill patternType="solid">
        <fgColor rgb="FFFFC000"/>
        <bgColor indexed="64"/>
      </patternFill>
    </fill>
    <fill>
      <patternFill patternType="solid">
        <fgColor rgb="FFFFC000"/>
        <bgColor indexed="64"/>
      </patternFill>
    </fill>
    <fill>
      <patternFill patternType="solid">
        <fgColor rgb="FFFFFF99"/>
        <bgColor indexed="64"/>
      </patternFill>
    </fill>
    <fill>
      <patternFill patternType="solid">
        <fgColor rgb="FFFFFF99"/>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indexed="51"/>
        <bgColor indexed="64"/>
      </patternFill>
    </fill>
    <fill>
      <patternFill patternType="solid">
        <fgColor rgb="FF99CC00"/>
        <bgColor indexed="64"/>
      </patternFill>
    </fill>
    <fill>
      <patternFill patternType="solid">
        <fgColor rgb="FF92D050"/>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medium"/>
      <right style="medium">
        <color indexed="8"/>
      </right>
      <top style="medium"/>
      <bottom style="medium">
        <color indexed="8"/>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medium"/>
      <top style="medium">
        <color indexed="8"/>
      </top>
      <bottom style="medium"/>
    </border>
    <border>
      <left>
        <color indexed="63"/>
      </left>
      <right>
        <color indexed="63"/>
      </right>
      <top style="medium"/>
      <bottom>
        <color indexed="63"/>
      </bottom>
    </border>
    <border>
      <left style="medium">
        <color indexed="8"/>
      </left>
      <right style="medium">
        <color indexed="8"/>
      </right>
      <top style="medium">
        <color indexed="8"/>
      </top>
      <bottom style="medium"/>
    </border>
    <border>
      <left style="medium"/>
      <right style="medium">
        <color indexed="8"/>
      </right>
      <top style="medium">
        <color indexed="8"/>
      </top>
      <bottom>
        <color indexed="63"/>
      </bottom>
    </border>
    <border>
      <left style="thin"/>
      <right style="thin"/>
      <top style="thin"/>
      <bottom style="thin"/>
    </border>
    <border>
      <left style="medium"/>
      <right style="medium">
        <color indexed="8"/>
      </right>
      <top style="medium">
        <color indexed="8"/>
      </top>
      <bottom style="medium"/>
    </border>
    <border>
      <left style="medium">
        <color indexed="8"/>
      </left>
      <right style="medium"/>
      <top style="medium">
        <color indexed="8"/>
      </top>
      <bottom>
        <color indexed="63"/>
      </bottom>
    </border>
    <border>
      <left style="medium">
        <color indexed="8"/>
      </left>
      <right style="medium"/>
      <top style="medium"/>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44" fillId="28" borderId="0" applyNumberFormat="0" applyBorder="0" applyAlignment="0" applyProtection="0"/>
    <xf numFmtId="0" fontId="9" fillId="0" borderId="0" applyNumberFormat="0" applyFill="0" applyBorder="0" applyAlignment="0" applyProtection="0"/>
    <xf numFmtId="0" fontId="45" fillId="29" borderId="1" applyNumberFormat="0" applyAlignment="0" applyProtection="0"/>
    <xf numFmtId="173" fontId="0" fillId="0" borderId="0" applyFill="0" applyBorder="0" applyAlignment="0" applyProtection="0"/>
    <xf numFmtId="41" fontId="1" fillId="0" borderId="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1" fillId="0" borderId="0">
      <alignment/>
      <protection/>
    </xf>
    <xf numFmtId="0" fontId="0" fillId="31" borderId="7" applyNumberFormat="0" applyFont="0" applyAlignment="0" applyProtection="0"/>
    <xf numFmtId="0" fontId="50" fillId="32" borderId="0" applyNumberFormat="0" applyBorder="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44" fontId="1" fillId="0" borderId="0" applyFill="0" applyBorder="0" applyAlignment="0" applyProtection="0"/>
    <xf numFmtId="42"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125">
    <xf numFmtId="0" fontId="0" fillId="0" borderId="0" xfId="0" applyAlignment="1">
      <alignment/>
    </xf>
    <xf numFmtId="0" fontId="1" fillId="33" borderId="0" xfId="52" applyFill="1">
      <alignment/>
      <protection/>
    </xf>
    <xf numFmtId="0" fontId="2" fillId="33" borderId="0" xfId="52" applyFont="1" applyFill="1" applyAlignment="1">
      <alignment horizontal="center"/>
      <protection/>
    </xf>
    <xf numFmtId="0" fontId="3" fillId="33" borderId="0" xfId="52" applyFont="1" applyFill="1" applyAlignment="1">
      <alignment horizontal="center"/>
      <protection/>
    </xf>
    <xf numFmtId="172" fontId="4" fillId="33" borderId="0" xfId="52" applyNumberFormat="1" applyFont="1" applyFill="1" applyAlignment="1">
      <alignment horizontal="center"/>
      <protection/>
    </xf>
    <xf numFmtId="0" fontId="5" fillId="34" borderId="0" xfId="52" applyFont="1" applyFill="1" applyAlignment="1">
      <alignment horizontal="center" wrapText="1"/>
      <protection/>
    </xf>
    <xf numFmtId="0" fontId="6" fillId="33" borderId="0" xfId="52" applyFont="1" applyFill="1" applyAlignment="1">
      <alignment horizontal="center"/>
      <protection/>
    </xf>
    <xf numFmtId="0" fontId="7" fillId="34" borderId="10" xfId="52" applyFont="1" applyFill="1" applyBorder="1" applyAlignment="1">
      <alignment horizontal="center"/>
      <protection/>
    </xf>
    <xf numFmtId="0" fontId="7" fillId="34" borderId="11" xfId="52" applyFont="1" applyFill="1" applyBorder="1" applyAlignment="1">
      <alignment horizontal="center"/>
      <protection/>
    </xf>
    <xf numFmtId="0" fontId="5" fillId="33" borderId="0" xfId="52" applyFont="1" applyFill="1" applyAlignment="1">
      <alignment horizontal="center"/>
      <protection/>
    </xf>
    <xf numFmtId="0" fontId="8" fillId="33" borderId="0" xfId="52" applyFont="1" applyFill="1" applyAlignment="1">
      <alignment horizontal="center"/>
      <protection/>
    </xf>
    <xf numFmtId="0" fontId="9" fillId="33" borderId="0" xfId="43" applyNumberFormat="1" applyFont="1" applyFill="1" applyBorder="1" applyAlignment="1" applyProtection="1">
      <alignment horizontal="center"/>
      <protection/>
    </xf>
    <xf numFmtId="0" fontId="10" fillId="33" borderId="0" xfId="52" applyFont="1" applyFill="1" applyAlignment="1">
      <alignment horizontal="center"/>
      <protection/>
    </xf>
    <xf numFmtId="0" fontId="0" fillId="35" borderId="0" xfId="0" applyFont="1" applyFill="1" applyBorder="1" applyAlignment="1">
      <alignment/>
    </xf>
    <xf numFmtId="0" fontId="0" fillId="0" borderId="0" xfId="0" applyBorder="1" applyAlignment="1">
      <alignment/>
    </xf>
    <xf numFmtId="0" fontId="12" fillId="0" borderId="0" xfId="0" applyFont="1" applyBorder="1" applyAlignment="1">
      <alignment/>
    </xf>
    <xf numFmtId="0" fontId="12" fillId="0" borderId="0" xfId="0" applyFont="1" applyAlignment="1">
      <alignment/>
    </xf>
    <xf numFmtId="0" fontId="13" fillId="0" borderId="0" xfId="0" applyFont="1" applyAlignment="1">
      <alignment/>
    </xf>
    <xf numFmtId="0" fontId="0" fillId="0" borderId="0" xfId="0" applyFill="1" applyBorder="1" applyAlignment="1">
      <alignment/>
    </xf>
    <xf numFmtId="174" fontId="0" fillId="0" borderId="0" xfId="45" applyNumberFormat="1" applyFont="1" applyFill="1" applyBorder="1" applyAlignment="1" applyProtection="1">
      <alignment/>
      <protection/>
    </xf>
    <xf numFmtId="0" fontId="0" fillId="0" borderId="0" xfId="0" applyFill="1" applyAlignment="1">
      <alignment/>
    </xf>
    <xf numFmtId="0" fontId="0" fillId="36" borderId="12" xfId="0" applyFill="1" applyBorder="1" applyAlignment="1">
      <alignment/>
    </xf>
    <xf numFmtId="0" fontId="10" fillId="35" borderId="0" xfId="0" applyFont="1" applyFill="1" applyAlignment="1">
      <alignment/>
    </xf>
    <xf numFmtId="0" fontId="10" fillId="35" borderId="0" xfId="0" applyFont="1" applyFill="1" applyAlignment="1">
      <alignment horizontal="center"/>
    </xf>
    <xf numFmtId="0" fontId="10" fillId="35" borderId="0" xfId="0" applyFont="1" applyFill="1" applyBorder="1" applyAlignment="1">
      <alignment horizontal="center"/>
    </xf>
    <xf numFmtId="0" fontId="14" fillId="0" borderId="0" xfId="0" applyFont="1" applyAlignment="1">
      <alignment/>
    </xf>
    <xf numFmtId="1" fontId="14" fillId="0" borderId="0" xfId="0" applyNumberFormat="1" applyFont="1" applyAlignment="1">
      <alignment/>
    </xf>
    <xf numFmtId="0" fontId="0" fillId="36" borderId="0" xfId="0" applyFill="1" applyAlignment="1">
      <alignment/>
    </xf>
    <xf numFmtId="0" fontId="15" fillId="0" borderId="0" xfId="0" applyFont="1" applyAlignment="1">
      <alignment/>
    </xf>
    <xf numFmtId="0" fontId="0" fillId="0" borderId="0" xfId="0" applyFont="1" applyAlignment="1">
      <alignment/>
    </xf>
    <xf numFmtId="2" fontId="0" fillId="36" borderId="0" xfId="0" applyNumberFormat="1" applyFill="1" applyAlignment="1">
      <alignment/>
    </xf>
    <xf numFmtId="9" fontId="0" fillId="36" borderId="0" xfId="0" applyNumberFormat="1" applyFill="1" applyAlignment="1">
      <alignment/>
    </xf>
    <xf numFmtId="1" fontId="0" fillId="0" borderId="0" xfId="0" applyNumberFormat="1" applyAlignment="1">
      <alignment/>
    </xf>
    <xf numFmtId="0" fontId="16" fillId="0" borderId="0" xfId="0" applyFont="1" applyAlignment="1">
      <alignment/>
    </xf>
    <xf numFmtId="0" fontId="17" fillId="0" borderId="0" xfId="0" applyFont="1" applyAlignment="1">
      <alignment/>
    </xf>
    <xf numFmtId="0" fontId="0" fillId="0" borderId="0" xfId="0" applyNumberFormat="1" applyAlignment="1">
      <alignment/>
    </xf>
    <xf numFmtId="2" fontId="0" fillId="0" borderId="0" xfId="0" applyNumberFormat="1" applyFill="1" applyAlignment="1">
      <alignment/>
    </xf>
    <xf numFmtId="2" fontId="0" fillId="0" borderId="0" xfId="0" applyNumberFormat="1" applyAlignment="1">
      <alignment/>
    </xf>
    <xf numFmtId="0" fontId="0" fillId="0" borderId="0" xfId="0" applyFont="1" applyAlignment="1">
      <alignment wrapText="1"/>
    </xf>
    <xf numFmtId="0" fontId="13" fillId="0" borderId="0" xfId="0" applyFont="1" applyFill="1" applyAlignment="1">
      <alignment/>
    </xf>
    <xf numFmtId="0" fontId="0" fillId="0" borderId="0" xfId="0" applyFont="1" applyFill="1" applyAlignment="1">
      <alignment/>
    </xf>
    <xf numFmtId="0" fontId="14" fillId="0" borderId="0" xfId="0" applyFont="1" applyFill="1" applyAlignment="1">
      <alignment/>
    </xf>
    <xf numFmtId="174" fontId="0" fillId="0" borderId="0" xfId="0" applyNumberFormat="1" applyAlignment="1">
      <alignment/>
    </xf>
    <xf numFmtId="9" fontId="0" fillId="0" borderId="0" xfId="0" applyNumberFormat="1" applyAlignment="1">
      <alignment/>
    </xf>
    <xf numFmtId="9" fontId="0" fillId="36" borderId="0" xfId="55" applyFont="1" applyFill="1" applyBorder="1" applyAlignment="1" applyProtection="1">
      <alignment/>
      <protection/>
    </xf>
    <xf numFmtId="174" fontId="14" fillId="0" borderId="0" xfId="0" applyNumberFormat="1" applyFont="1" applyAlignment="1">
      <alignment/>
    </xf>
    <xf numFmtId="0" fontId="13" fillId="35" borderId="0" xfId="0" applyFont="1" applyFill="1" applyBorder="1" applyAlignment="1">
      <alignment/>
    </xf>
    <xf numFmtId="3" fontId="0" fillId="36" borderId="0" xfId="0" applyNumberFormat="1" applyFill="1" applyAlignment="1">
      <alignment/>
    </xf>
    <xf numFmtId="174" fontId="0" fillId="36" borderId="13" xfId="45" applyNumberFormat="1" applyFont="1" applyFill="1" applyBorder="1" applyAlignment="1" applyProtection="1">
      <alignment/>
      <protection/>
    </xf>
    <xf numFmtId="0" fontId="12" fillId="37" borderId="0" xfId="0" applyFont="1" applyFill="1" applyAlignment="1">
      <alignment/>
    </xf>
    <xf numFmtId="174" fontId="12" fillId="37" borderId="0" xfId="45" applyNumberFormat="1" applyFont="1" applyFill="1" applyBorder="1" applyAlignment="1" applyProtection="1">
      <alignment/>
      <protection/>
    </xf>
    <xf numFmtId="0" fontId="0" fillId="37" borderId="0" xfId="0" applyFill="1" applyAlignment="1">
      <alignment/>
    </xf>
    <xf numFmtId="173" fontId="12" fillId="37" borderId="0" xfId="45" applyFont="1" applyFill="1" applyBorder="1" applyAlignment="1" applyProtection="1">
      <alignment/>
      <protection/>
    </xf>
    <xf numFmtId="0" fontId="12" fillId="38" borderId="0" xfId="0" applyFont="1" applyFill="1" applyAlignment="1">
      <alignment/>
    </xf>
    <xf numFmtId="174" fontId="12" fillId="38" borderId="0" xfId="0" applyNumberFormat="1" applyFont="1" applyFill="1" applyAlignment="1">
      <alignment/>
    </xf>
    <xf numFmtId="0" fontId="19" fillId="38" borderId="0" xfId="0" applyFont="1" applyFill="1" applyAlignment="1">
      <alignment/>
    </xf>
    <xf numFmtId="174" fontId="14" fillId="38" borderId="0" xfId="0" applyNumberFormat="1" applyFont="1" applyFill="1" applyAlignment="1">
      <alignment/>
    </xf>
    <xf numFmtId="1" fontId="12" fillId="38" borderId="0" xfId="45" applyNumberFormat="1" applyFont="1" applyFill="1" applyBorder="1" applyAlignment="1" applyProtection="1">
      <alignment/>
      <protection/>
    </xf>
    <xf numFmtId="174" fontId="12" fillId="38" borderId="0" xfId="45" applyNumberFormat="1" applyFont="1" applyFill="1" applyBorder="1" applyAlignment="1" applyProtection="1">
      <alignment/>
      <protection/>
    </xf>
    <xf numFmtId="9" fontId="0" fillId="36" borderId="0" xfId="55" applyFill="1" applyAlignment="1">
      <alignment/>
    </xf>
    <xf numFmtId="174" fontId="0" fillId="0" borderId="0" xfId="45" applyNumberFormat="1" applyFont="1" applyFill="1" applyBorder="1" applyAlignment="1" applyProtection="1">
      <alignment/>
      <protection/>
    </xf>
    <xf numFmtId="0" fontId="16" fillId="0" borderId="0" xfId="0" applyFont="1" applyFill="1" applyAlignment="1">
      <alignment/>
    </xf>
    <xf numFmtId="1" fontId="14" fillId="0" borderId="0" xfId="0" applyNumberFormat="1" applyFont="1" applyFill="1" applyAlignment="1">
      <alignment/>
    </xf>
    <xf numFmtId="174" fontId="0" fillId="0" borderId="0" xfId="0" applyNumberFormat="1" applyFill="1" applyAlignment="1">
      <alignment/>
    </xf>
    <xf numFmtId="0" fontId="56" fillId="33" borderId="0" xfId="52" applyFont="1" applyFill="1" applyAlignment="1">
      <alignment horizontal="center" wrapText="1"/>
      <protection/>
    </xf>
    <xf numFmtId="0" fontId="57" fillId="33" borderId="0" xfId="52" applyFont="1" applyFill="1">
      <alignment/>
      <protection/>
    </xf>
    <xf numFmtId="174" fontId="0" fillId="36" borderId="0" xfId="45" applyNumberFormat="1" applyFill="1" applyAlignment="1">
      <alignment/>
    </xf>
    <xf numFmtId="9" fontId="0" fillId="0" borderId="0" xfId="0" applyNumberFormat="1" applyFill="1" applyAlignment="1">
      <alignment/>
    </xf>
    <xf numFmtId="3" fontId="0" fillId="39" borderId="0" xfId="0" applyNumberFormat="1" applyFill="1" applyAlignment="1">
      <alignment/>
    </xf>
    <xf numFmtId="3" fontId="0" fillId="40" borderId="0" xfId="0" applyNumberFormat="1" applyFill="1" applyAlignment="1">
      <alignment/>
    </xf>
    <xf numFmtId="0" fontId="0" fillId="40" borderId="0" xfId="0" applyFill="1" applyAlignment="1">
      <alignment/>
    </xf>
    <xf numFmtId="0" fontId="19" fillId="0" borderId="0" xfId="0" applyFont="1" applyAlignment="1">
      <alignment/>
    </xf>
    <xf numFmtId="0" fontId="0" fillId="41" borderId="0" xfId="0" applyFill="1" applyAlignment="1">
      <alignment/>
    </xf>
    <xf numFmtId="3" fontId="0" fillId="42" borderId="13" xfId="0" applyNumberFormat="1" applyFill="1" applyBorder="1" applyAlignment="1">
      <alignment/>
    </xf>
    <xf numFmtId="172" fontId="22" fillId="33" borderId="0" xfId="52" applyNumberFormat="1" applyFont="1" applyFill="1" applyAlignment="1">
      <alignment horizontal="center"/>
      <protection/>
    </xf>
    <xf numFmtId="0" fontId="0" fillId="0" borderId="0" xfId="0" applyFont="1" applyFill="1" applyBorder="1" applyAlignment="1">
      <alignment/>
    </xf>
    <xf numFmtId="174" fontId="0" fillId="0" borderId="0" xfId="45" applyNumberFormat="1" applyFill="1" applyAlignment="1">
      <alignment/>
    </xf>
    <xf numFmtId="187" fontId="0" fillId="0" borderId="0" xfId="45" applyNumberFormat="1" applyFont="1" applyFill="1" applyBorder="1" applyAlignment="1" applyProtection="1">
      <alignment/>
      <protection/>
    </xf>
    <xf numFmtId="174" fontId="0" fillId="36" borderId="14" xfId="45" applyNumberFormat="1" applyFont="1" applyFill="1" applyBorder="1" applyAlignment="1" applyProtection="1">
      <alignment/>
      <protection/>
    </xf>
    <xf numFmtId="174" fontId="0" fillId="36" borderId="15" xfId="45" applyNumberFormat="1" applyFont="1" applyFill="1" applyBorder="1" applyAlignment="1" applyProtection="1">
      <alignment/>
      <protection/>
    </xf>
    <xf numFmtId="174" fontId="0" fillId="36" borderId="16" xfId="45" applyNumberFormat="1" applyFont="1" applyFill="1" applyBorder="1" applyAlignment="1" applyProtection="1">
      <alignment/>
      <protection/>
    </xf>
    <xf numFmtId="174" fontId="0" fillId="33" borderId="17" xfId="45" applyNumberFormat="1" applyFont="1" applyFill="1" applyBorder="1" applyAlignment="1" applyProtection="1">
      <alignment/>
      <protection/>
    </xf>
    <xf numFmtId="174" fontId="0" fillId="33" borderId="18" xfId="45" applyNumberFormat="1" applyFill="1" applyBorder="1" applyAlignment="1">
      <alignment/>
    </xf>
    <xf numFmtId="0" fontId="0" fillId="33" borderId="17" xfId="0" applyFont="1" applyFill="1" applyBorder="1" applyAlignment="1">
      <alignment/>
    </xf>
    <xf numFmtId="174" fontId="0" fillId="33" borderId="18" xfId="45" applyNumberFormat="1" applyFont="1" applyFill="1" applyBorder="1" applyAlignment="1" applyProtection="1">
      <alignment/>
      <protection/>
    </xf>
    <xf numFmtId="0" fontId="0" fillId="33" borderId="17" xfId="0" applyFill="1" applyBorder="1" applyAlignment="1">
      <alignment/>
    </xf>
    <xf numFmtId="0" fontId="0" fillId="36" borderId="0" xfId="0" applyNumberFormat="1" applyFill="1" applyAlignment="1">
      <alignment/>
    </xf>
    <xf numFmtId="174" fontId="0" fillId="0" borderId="0" xfId="45" applyNumberFormat="1" applyAlignment="1">
      <alignment/>
    </xf>
    <xf numFmtId="0" fontId="0" fillId="43" borderId="13" xfId="0" applyFont="1" applyFill="1" applyBorder="1" applyAlignment="1">
      <alignment/>
    </xf>
    <xf numFmtId="1" fontId="19" fillId="44" borderId="13" xfId="0" applyNumberFormat="1" applyFont="1" applyFill="1" applyBorder="1" applyAlignment="1">
      <alignment/>
    </xf>
    <xf numFmtId="0" fontId="0" fillId="0" borderId="0" xfId="0" applyFont="1" applyBorder="1" applyAlignment="1">
      <alignment wrapText="1"/>
    </xf>
    <xf numFmtId="0" fontId="0" fillId="0" borderId="0" xfId="0" applyBorder="1" applyAlignment="1">
      <alignment vertical="top" wrapText="1"/>
    </xf>
    <xf numFmtId="0" fontId="0" fillId="33" borderId="0" xfId="0" applyFill="1" applyBorder="1" applyAlignment="1">
      <alignment/>
    </xf>
    <xf numFmtId="2" fontId="0" fillId="33" borderId="0" xfId="0" applyNumberFormat="1" applyFont="1" applyFill="1" applyBorder="1" applyAlignment="1">
      <alignment/>
    </xf>
    <xf numFmtId="174" fontId="0" fillId="45" borderId="19" xfId="45" applyNumberFormat="1" applyFont="1" applyFill="1" applyBorder="1" applyAlignment="1" applyProtection="1">
      <alignment/>
      <protection/>
    </xf>
    <xf numFmtId="0" fontId="0" fillId="35" borderId="0" xfId="0" applyFont="1" applyFill="1" applyBorder="1" applyAlignment="1">
      <alignment horizontal="right"/>
    </xf>
    <xf numFmtId="0" fontId="0" fillId="0" borderId="0" xfId="0" applyBorder="1" applyAlignment="1">
      <alignment horizontal="right"/>
    </xf>
    <xf numFmtId="0" fontId="0" fillId="0" borderId="0" xfId="0" applyAlignment="1">
      <alignment horizontal="right"/>
    </xf>
    <xf numFmtId="0" fontId="0" fillId="33" borderId="20" xfId="0" applyFont="1" applyFill="1" applyBorder="1" applyAlignment="1">
      <alignment horizontal="right"/>
    </xf>
    <xf numFmtId="0" fontId="0" fillId="33" borderId="0" xfId="0" applyFont="1" applyFill="1" applyBorder="1" applyAlignment="1">
      <alignment horizontal="right"/>
    </xf>
    <xf numFmtId="0" fontId="0" fillId="45" borderId="21" xfId="0" applyFont="1" applyFill="1" applyBorder="1" applyAlignment="1">
      <alignment horizontal="right"/>
    </xf>
    <xf numFmtId="0" fontId="0" fillId="0" borderId="0" xfId="0" applyFill="1" applyBorder="1" applyAlignment="1">
      <alignment horizontal="right"/>
    </xf>
    <xf numFmtId="0" fontId="0" fillId="44" borderId="13" xfId="0" applyFill="1" applyBorder="1" applyAlignment="1">
      <alignment horizontal="right"/>
    </xf>
    <xf numFmtId="0" fontId="0" fillId="0" borderId="0" xfId="0" applyBorder="1" applyAlignment="1">
      <alignment horizontal="left" vertical="top" wrapText="1"/>
    </xf>
    <xf numFmtId="174" fontId="0" fillId="36" borderId="22" xfId="45" applyNumberFormat="1" applyFont="1" applyFill="1" applyBorder="1" applyAlignment="1" applyProtection="1">
      <alignment/>
      <protection/>
    </xf>
    <xf numFmtId="0" fontId="0" fillId="33" borderId="23" xfId="0" applyFont="1" applyFill="1" applyBorder="1" applyAlignment="1">
      <alignment/>
    </xf>
    <xf numFmtId="0" fontId="0" fillId="33" borderId="23" xfId="0" applyFont="1" applyFill="1" applyBorder="1" applyAlignment="1">
      <alignment horizontal="right"/>
    </xf>
    <xf numFmtId="174" fontId="0" fillId="33" borderId="23" xfId="45" applyNumberFormat="1" applyFont="1" applyFill="1" applyBorder="1" applyAlignment="1" applyProtection="1">
      <alignment/>
      <protection/>
    </xf>
    <xf numFmtId="0" fontId="0" fillId="33" borderId="23" xfId="0" applyFill="1" applyBorder="1" applyAlignment="1">
      <alignment/>
    </xf>
    <xf numFmtId="174" fontId="0" fillId="46" borderId="23" xfId="45" applyNumberFormat="1" applyFont="1" applyFill="1" applyBorder="1" applyAlignment="1" applyProtection="1">
      <alignment horizontal="right"/>
      <protection/>
    </xf>
    <xf numFmtId="174" fontId="0" fillId="47" borderId="23" xfId="45" applyNumberFormat="1" applyFont="1" applyFill="1" applyBorder="1" applyAlignment="1" applyProtection="1">
      <alignment/>
      <protection/>
    </xf>
    <xf numFmtId="2" fontId="0" fillId="33" borderId="23" xfId="0" applyNumberFormat="1" applyFont="1" applyFill="1" applyBorder="1" applyAlignment="1">
      <alignment/>
    </xf>
    <xf numFmtId="0" fontId="0" fillId="48" borderId="23" xfId="0" applyFont="1" applyFill="1" applyBorder="1" applyAlignment="1">
      <alignment horizontal="right"/>
    </xf>
    <xf numFmtId="174" fontId="0" fillId="48" borderId="23" xfId="45" applyNumberFormat="1" applyFont="1" applyFill="1" applyBorder="1" applyAlignment="1" applyProtection="1">
      <alignment/>
      <protection/>
    </xf>
    <xf numFmtId="0" fontId="19" fillId="48" borderId="23" xfId="0" applyFont="1" applyFill="1" applyBorder="1" applyAlignment="1">
      <alignment/>
    </xf>
    <xf numFmtId="0" fontId="19" fillId="45" borderId="24" xfId="0" applyFont="1" applyFill="1" applyBorder="1" applyAlignment="1">
      <alignment/>
    </xf>
    <xf numFmtId="174" fontId="0" fillId="0" borderId="16" xfId="45" applyNumberFormat="1" applyFont="1" applyFill="1" applyBorder="1" applyAlignment="1" applyProtection="1">
      <alignment/>
      <protection/>
    </xf>
    <xf numFmtId="174" fontId="0" fillId="36" borderId="23" xfId="45" applyNumberFormat="1" applyFont="1" applyFill="1" applyBorder="1" applyAlignment="1" applyProtection="1">
      <alignment/>
      <protection/>
    </xf>
    <xf numFmtId="172" fontId="22" fillId="33" borderId="0" xfId="52" applyNumberFormat="1" applyFont="1" applyFill="1" applyAlignment="1" quotePrefix="1">
      <alignment horizontal="center"/>
      <protection/>
    </xf>
    <xf numFmtId="175" fontId="0" fillId="36" borderId="16" xfId="45" applyNumberFormat="1" applyFont="1" applyFill="1" applyBorder="1" applyAlignment="1" applyProtection="1">
      <alignment/>
      <protection/>
    </xf>
    <xf numFmtId="175" fontId="0" fillId="36" borderId="25" xfId="45" applyNumberFormat="1" applyFont="1" applyFill="1" applyBorder="1" applyAlignment="1" applyProtection="1">
      <alignment/>
      <protection/>
    </xf>
    <xf numFmtId="174" fontId="0" fillId="0" borderId="26" xfId="45" applyNumberFormat="1" applyFont="1" applyFill="1" applyBorder="1" applyAlignment="1" applyProtection="1">
      <alignment/>
      <protection/>
    </xf>
    <xf numFmtId="0" fontId="0" fillId="33" borderId="13" xfId="0" applyFont="1" applyFill="1" applyBorder="1" applyAlignment="1">
      <alignment horizontal="right"/>
    </xf>
    <xf numFmtId="0" fontId="0" fillId="0" borderId="0" xfId="0" applyBorder="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1857375</xdr:colOff>
      <xdr:row>5</xdr:row>
      <xdr:rowOff>57150</xdr:rowOff>
    </xdr:to>
    <xdr:pic>
      <xdr:nvPicPr>
        <xdr:cNvPr id="1" name="Picture 24"/>
        <xdr:cNvPicPr preferRelativeResize="1">
          <a:picLocks noChangeAspect="1"/>
        </xdr:cNvPicPr>
      </xdr:nvPicPr>
      <xdr:blipFill>
        <a:blip r:embed="rId1"/>
        <a:stretch>
          <a:fillRect/>
        </a:stretch>
      </xdr:blipFill>
      <xdr:spPr>
        <a:xfrm>
          <a:off x="0" y="161925"/>
          <a:ext cx="1857375" cy="838200"/>
        </a:xfrm>
        <a:prstGeom prst="rect">
          <a:avLst/>
        </a:prstGeom>
        <a:noFill/>
        <a:ln w="9525" cmpd="sng">
          <a:noFill/>
        </a:ln>
      </xdr:spPr>
    </xdr:pic>
    <xdr:clientData/>
  </xdr:twoCellAnchor>
  <xdr:twoCellAnchor editAs="oneCell">
    <xdr:from>
      <xdr:col>0</xdr:col>
      <xdr:colOff>1790700</xdr:colOff>
      <xdr:row>12</xdr:row>
      <xdr:rowOff>247650</xdr:rowOff>
    </xdr:from>
    <xdr:to>
      <xdr:col>0</xdr:col>
      <xdr:colOff>4267200</xdr:colOff>
      <xdr:row>15</xdr:row>
      <xdr:rowOff>942975</xdr:rowOff>
    </xdr:to>
    <xdr:pic>
      <xdr:nvPicPr>
        <xdr:cNvPr id="2" name="Afbeelding 2" descr="D:\Documenten\AAAGroasis\IP\Growboxx\Modellen en tekeningen\2015 April\Growboxx plantcocoon Model 'Reforestation and Ecosystem restoration' for 5 trees and or plants.jpg"/>
        <xdr:cNvPicPr preferRelativeResize="1">
          <a:picLocks noChangeAspect="1"/>
        </xdr:cNvPicPr>
      </xdr:nvPicPr>
      <xdr:blipFill>
        <a:blip r:embed="rId2"/>
        <a:stretch>
          <a:fillRect/>
        </a:stretch>
      </xdr:blipFill>
      <xdr:spPr>
        <a:xfrm>
          <a:off x="1790700" y="2828925"/>
          <a:ext cx="2476500" cy="1800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1266825</xdr:colOff>
      <xdr:row>1</xdr:row>
      <xdr:rowOff>180975</xdr:rowOff>
    </xdr:to>
    <xdr:pic>
      <xdr:nvPicPr>
        <xdr:cNvPr id="1" name="Picture 1"/>
        <xdr:cNvPicPr preferRelativeResize="1">
          <a:picLocks noChangeAspect="1"/>
        </xdr:cNvPicPr>
      </xdr:nvPicPr>
      <xdr:blipFill>
        <a:blip r:embed="rId1"/>
        <a:stretch>
          <a:fillRect/>
        </a:stretch>
      </xdr:blipFill>
      <xdr:spPr>
        <a:xfrm>
          <a:off x="0" y="0"/>
          <a:ext cx="1257300" cy="523875"/>
        </a:xfrm>
        <a:prstGeom prst="rect">
          <a:avLst/>
        </a:prstGeom>
        <a:noFill/>
        <a:ln w="9525" cmpd="sng">
          <a:noFill/>
        </a:ln>
      </xdr:spPr>
    </xdr:pic>
    <xdr:clientData/>
  </xdr:twoCellAnchor>
  <xdr:twoCellAnchor>
    <xdr:from>
      <xdr:col>0</xdr:col>
      <xdr:colOff>0</xdr:colOff>
      <xdr:row>0</xdr:row>
      <xdr:rowOff>0</xdr:rowOff>
    </xdr:from>
    <xdr:to>
      <xdr:col>0</xdr:col>
      <xdr:colOff>1247775</xdr:colOff>
      <xdr:row>2</xdr:row>
      <xdr:rowOff>0</xdr:rowOff>
    </xdr:to>
    <xdr:pic>
      <xdr:nvPicPr>
        <xdr:cNvPr id="2" name="Picture 1"/>
        <xdr:cNvPicPr preferRelativeResize="1">
          <a:picLocks noChangeAspect="1"/>
        </xdr:cNvPicPr>
      </xdr:nvPicPr>
      <xdr:blipFill>
        <a:blip r:embed="rId1"/>
        <a:stretch>
          <a:fillRect/>
        </a:stretch>
      </xdr:blipFill>
      <xdr:spPr>
        <a:xfrm>
          <a:off x="0" y="0"/>
          <a:ext cx="12477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1266825</xdr:colOff>
      <xdr:row>1</xdr:row>
      <xdr:rowOff>190500</xdr:rowOff>
    </xdr:to>
    <xdr:pic>
      <xdr:nvPicPr>
        <xdr:cNvPr id="1" name="Picture 1"/>
        <xdr:cNvPicPr preferRelativeResize="1">
          <a:picLocks noChangeAspect="1"/>
        </xdr:cNvPicPr>
      </xdr:nvPicPr>
      <xdr:blipFill>
        <a:blip r:embed="rId1"/>
        <a:stretch>
          <a:fillRect/>
        </a:stretch>
      </xdr:blipFill>
      <xdr:spPr>
        <a:xfrm>
          <a:off x="0" y="0"/>
          <a:ext cx="1257300" cy="533400"/>
        </a:xfrm>
        <a:prstGeom prst="rect">
          <a:avLst/>
        </a:prstGeom>
        <a:noFill/>
        <a:ln w="9525" cmpd="sng">
          <a:noFill/>
        </a:ln>
      </xdr:spPr>
    </xdr:pic>
    <xdr:clientData/>
  </xdr:twoCellAnchor>
  <xdr:twoCellAnchor>
    <xdr:from>
      <xdr:col>0</xdr:col>
      <xdr:colOff>0</xdr:colOff>
      <xdr:row>0</xdr:row>
      <xdr:rowOff>0</xdr:rowOff>
    </xdr:from>
    <xdr:to>
      <xdr:col>0</xdr:col>
      <xdr:colOff>1247775</xdr:colOff>
      <xdr:row>2</xdr:row>
      <xdr:rowOff>0</xdr:rowOff>
    </xdr:to>
    <xdr:pic>
      <xdr:nvPicPr>
        <xdr:cNvPr id="2" name="Picture 1"/>
        <xdr:cNvPicPr preferRelativeResize="1">
          <a:picLocks noChangeAspect="1"/>
        </xdr:cNvPicPr>
      </xdr:nvPicPr>
      <xdr:blipFill>
        <a:blip r:embed="rId1"/>
        <a:stretch>
          <a:fillRect/>
        </a:stretch>
      </xdr:blipFill>
      <xdr:spPr>
        <a:xfrm>
          <a:off x="0" y="0"/>
          <a:ext cx="12477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1257300</xdr:colOff>
      <xdr:row>1</xdr:row>
      <xdr:rowOff>180975</xdr:rowOff>
    </xdr:to>
    <xdr:pic>
      <xdr:nvPicPr>
        <xdr:cNvPr id="1" name="Picture 1"/>
        <xdr:cNvPicPr preferRelativeResize="1">
          <a:picLocks noChangeAspect="1"/>
        </xdr:cNvPicPr>
      </xdr:nvPicPr>
      <xdr:blipFill>
        <a:blip r:embed="rId1"/>
        <a:stretch>
          <a:fillRect/>
        </a:stretch>
      </xdr:blipFill>
      <xdr:spPr>
        <a:xfrm>
          <a:off x="9525" y="0"/>
          <a:ext cx="1257300" cy="523875"/>
        </a:xfrm>
        <a:prstGeom prst="rect">
          <a:avLst/>
        </a:prstGeom>
        <a:noFill/>
        <a:ln w="9525" cmpd="sng">
          <a:noFill/>
        </a:ln>
      </xdr:spPr>
    </xdr:pic>
    <xdr:clientData/>
  </xdr:twoCellAnchor>
  <xdr:twoCellAnchor>
    <xdr:from>
      <xdr:col>0</xdr:col>
      <xdr:colOff>9525</xdr:colOff>
      <xdr:row>0</xdr:row>
      <xdr:rowOff>0</xdr:rowOff>
    </xdr:from>
    <xdr:to>
      <xdr:col>0</xdr:col>
      <xdr:colOff>1257300</xdr:colOff>
      <xdr:row>1</xdr:row>
      <xdr:rowOff>180975</xdr:rowOff>
    </xdr:to>
    <xdr:pic>
      <xdr:nvPicPr>
        <xdr:cNvPr id="2" name="Picture 1"/>
        <xdr:cNvPicPr preferRelativeResize="1">
          <a:picLocks noChangeAspect="1"/>
        </xdr:cNvPicPr>
      </xdr:nvPicPr>
      <xdr:blipFill>
        <a:blip r:embed="rId1"/>
        <a:stretch>
          <a:fillRect/>
        </a:stretch>
      </xdr:blipFill>
      <xdr:spPr>
        <a:xfrm>
          <a:off x="9525" y="0"/>
          <a:ext cx="125730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1266825</xdr:colOff>
      <xdr:row>1</xdr:row>
      <xdr:rowOff>180975</xdr:rowOff>
    </xdr:to>
    <xdr:pic>
      <xdr:nvPicPr>
        <xdr:cNvPr id="1" name="Picture 1"/>
        <xdr:cNvPicPr preferRelativeResize="1">
          <a:picLocks noChangeAspect="1"/>
        </xdr:cNvPicPr>
      </xdr:nvPicPr>
      <xdr:blipFill>
        <a:blip r:embed="rId1"/>
        <a:stretch>
          <a:fillRect/>
        </a:stretch>
      </xdr:blipFill>
      <xdr:spPr>
        <a:xfrm>
          <a:off x="19050" y="0"/>
          <a:ext cx="1247775" cy="523875"/>
        </a:xfrm>
        <a:prstGeom prst="rect">
          <a:avLst/>
        </a:prstGeom>
        <a:noFill/>
        <a:ln w="9525" cmpd="sng">
          <a:noFill/>
        </a:ln>
      </xdr:spPr>
    </xdr:pic>
    <xdr:clientData/>
  </xdr:twoCellAnchor>
  <xdr:twoCellAnchor>
    <xdr:from>
      <xdr:col>0</xdr:col>
      <xdr:colOff>19050</xdr:colOff>
      <xdr:row>0</xdr:row>
      <xdr:rowOff>0</xdr:rowOff>
    </xdr:from>
    <xdr:to>
      <xdr:col>0</xdr:col>
      <xdr:colOff>1266825</xdr:colOff>
      <xdr:row>1</xdr:row>
      <xdr:rowOff>180975</xdr:rowOff>
    </xdr:to>
    <xdr:pic>
      <xdr:nvPicPr>
        <xdr:cNvPr id="2" name="Picture 1"/>
        <xdr:cNvPicPr preferRelativeResize="1">
          <a:picLocks noChangeAspect="1"/>
        </xdr:cNvPicPr>
      </xdr:nvPicPr>
      <xdr:blipFill>
        <a:blip r:embed="rId1"/>
        <a:stretch>
          <a:fillRect/>
        </a:stretch>
      </xdr:blipFill>
      <xdr:spPr>
        <a:xfrm>
          <a:off x="19050" y="0"/>
          <a:ext cx="1247775"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1247775</xdr:colOff>
      <xdr:row>1</xdr:row>
      <xdr:rowOff>180975</xdr:rowOff>
    </xdr:to>
    <xdr:pic>
      <xdr:nvPicPr>
        <xdr:cNvPr id="1" name="Picture 1"/>
        <xdr:cNvPicPr preferRelativeResize="1">
          <a:picLocks noChangeAspect="1"/>
        </xdr:cNvPicPr>
      </xdr:nvPicPr>
      <xdr:blipFill>
        <a:blip r:embed="rId1"/>
        <a:stretch>
          <a:fillRect/>
        </a:stretch>
      </xdr:blipFill>
      <xdr:spPr>
        <a:xfrm>
          <a:off x="9525" y="0"/>
          <a:ext cx="1238250" cy="523875"/>
        </a:xfrm>
        <a:prstGeom prst="rect">
          <a:avLst/>
        </a:prstGeom>
        <a:noFill/>
        <a:ln w="9525" cmpd="sng">
          <a:noFill/>
        </a:ln>
      </xdr:spPr>
    </xdr:pic>
    <xdr:clientData/>
  </xdr:twoCellAnchor>
  <xdr:twoCellAnchor>
    <xdr:from>
      <xdr:col>0</xdr:col>
      <xdr:colOff>9525</xdr:colOff>
      <xdr:row>0</xdr:row>
      <xdr:rowOff>0</xdr:rowOff>
    </xdr:from>
    <xdr:to>
      <xdr:col>0</xdr:col>
      <xdr:colOff>1247775</xdr:colOff>
      <xdr:row>1</xdr:row>
      <xdr:rowOff>180975</xdr:rowOff>
    </xdr:to>
    <xdr:pic>
      <xdr:nvPicPr>
        <xdr:cNvPr id="2" name="Picture 1"/>
        <xdr:cNvPicPr preferRelativeResize="1">
          <a:picLocks noChangeAspect="1"/>
        </xdr:cNvPicPr>
      </xdr:nvPicPr>
      <xdr:blipFill>
        <a:blip r:embed="rId1"/>
        <a:stretch>
          <a:fillRect/>
        </a:stretch>
      </xdr:blipFill>
      <xdr:spPr>
        <a:xfrm>
          <a:off x="9525" y="0"/>
          <a:ext cx="123825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1066800</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1066800" cy="533400"/>
        </a:xfrm>
        <a:prstGeom prst="rect">
          <a:avLst/>
        </a:prstGeom>
        <a:noFill/>
        <a:ln w="9525" cmpd="sng">
          <a:noFill/>
        </a:ln>
      </xdr:spPr>
    </xdr:pic>
    <xdr:clientData/>
  </xdr:twoCellAnchor>
  <xdr:twoCellAnchor>
    <xdr:from>
      <xdr:col>0</xdr:col>
      <xdr:colOff>0</xdr:colOff>
      <xdr:row>0</xdr:row>
      <xdr:rowOff>0</xdr:rowOff>
    </xdr:from>
    <xdr:to>
      <xdr:col>0</xdr:col>
      <xdr:colOff>1066800</xdr:colOff>
      <xdr:row>2</xdr:row>
      <xdr:rowOff>9525</xdr:rowOff>
    </xdr:to>
    <xdr:pic>
      <xdr:nvPicPr>
        <xdr:cNvPr id="2" name="Picture 1"/>
        <xdr:cNvPicPr preferRelativeResize="1">
          <a:picLocks noChangeAspect="1"/>
        </xdr:cNvPicPr>
      </xdr:nvPicPr>
      <xdr:blipFill>
        <a:blip r:embed="rId1"/>
        <a:stretch>
          <a:fillRect/>
        </a:stretch>
      </xdr:blipFill>
      <xdr:spPr>
        <a:xfrm>
          <a:off x="0" y="0"/>
          <a:ext cx="10668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off@groasi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1"/>
  <sheetViews>
    <sheetView tabSelected="1" zoomScaleSheetLayoutView="100" zoomScalePageLayoutView="0" workbookViewId="0" topLeftCell="A1">
      <selection activeCell="A1" sqref="A1"/>
    </sheetView>
  </sheetViews>
  <sheetFormatPr defaultColWidth="9.140625" defaultRowHeight="15"/>
  <cols>
    <col min="1" max="1" width="95.421875" style="1" customWidth="1"/>
    <col min="2" max="16384" width="9.140625" style="1" customWidth="1"/>
  </cols>
  <sheetData>
    <row r="1" ht="12.75">
      <c r="A1" s="2"/>
    </row>
    <row r="2" ht="12.75">
      <c r="A2" s="2"/>
    </row>
    <row r="3" ht="23.25">
      <c r="A3" s="3"/>
    </row>
    <row r="4" ht="12.75">
      <c r="A4" s="2"/>
    </row>
    <row r="5" ht="12.75">
      <c r="A5" s="2"/>
    </row>
    <row r="6" ht="12.75">
      <c r="A6" s="2"/>
    </row>
    <row r="7" s="65" customFormat="1" ht="24" customHeight="1">
      <c r="A7" s="64" t="s">
        <v>153</v>
      </c>
    </row>
    <row r="8" ht="27.75" customHeight="1">
      <c r="A8" s="74" t="s">
        <v>161</v>
      </c>
    </row>
    <row r="9" ht="27.75" customHeight="1">
      <c r="A9" s="74" t="s">
        <v>160</v>
      </c>
    </row>
    <row r="10" ht="9" customHeight="1" hidden="1">
      <c r="A10" s="74"/>
    </row>
    <row r="11" ht="9" customHeight="1">
      <c r="A11" s="74"/>
    </row>
    <row r="12" ht="27.75" customHeight="1">
      <c r="A12" s="118" t="s">
        <v>178</v>
      </c>
    </row>
    <row r="13" ht="27.75" customHeight="1">
      <c r="A13" s="74"/>
    </row>
    <row r="14" ht="27.75" customHeight="1">
      <c r="A14" s="74"/>
    </row>
    <row r="15" ht="31.5">
      <c r="A15" s="74"/>
    </row>
    <row r="16" ht="78" customHeight="1">
      <c r="A16" s="4"/>
    </row>
    <row r="17" ht="47.25" customHeight="1">
      <c r="A17" s="5" t="s">
        <v>130</v>
      </c>
    </row>
    <row r="18" ht="15">
      <c r="A18" s="6"/>
    </row>
    <row r="19" ht="12">
      <c r="A19" s="7" t="s">
        <v>0</v>
      </c>
    </row>
    <row r="20" ht="12">
      <c r="A20" s="8" t="s">
        <v>145</v>
      </c>
    </row>
    <row r="23" ht="15">
      <c r="A23" s="9"/>
    </row>
    <row r="24" ht="15">
      <c r="A24" s="9"/>
    </row>
    <row r="25" ht="12.75">
      <c r="A25" s="2"/>
    </row>
    <row r="26" ht="12.75">
      <c r="A26" s="2"/>
    </row>
    <row r="27" ht="12.75">
      <c r="A27" s="2"/>
    </row>
    <row r="28" ht="15">
      <c r="A28" s="10" t="s">
        <v>1</v>
      </c>
    </row>
    <row r="29" ht="12">
      <c r="A29" s="11" t="s">
        <v>2</v>
      </c>
    </row>
    <row r="30" ht="12.75">
      <c r="A30" s="2"/>
    </row>
    <row r="31" ht="12.75">
      <c r="A31" s="12" t="s">
        <v>3</v>
      </c>
    </row>
  </sheetData>
  <sheetProtection selectLockedCells="1" selectUnlockedCells="1"/>
  <hyperlinks>
    <hyperlink ref="A29" r:id="rId1" display="phoff@groasis.com"/>
  </hyperlinks>
  <printOptions/>
  <pageMargins left="0.75" right="0.75" top="1" bottom="1" header="0.5118055555555555" footer="0.5118055555555555"/>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zoomScaleSheetLayoutView="145" zoomScalePageLayoutView="0" workbookViewId="0" topLeftCell="A1">
      <selection activeCell="E1" sqref="E1"/>
    </sheetView>
  </sheetViews>
  <sheetFormatPr defaultColWidth="9.140625" defaultRowHeight="15"/>
  <cols>
    <col min="1" max="1" width="64.00390625" style="0" customWidth="1"/>
    <col min="2" max="2" width="9.57421875" style="97" bestFit="1" customWidth="1"/>
    <col min="3" max="3" width="23.421875" style="0" bestFit="1" customWidth="1"/>
    <col min="4" max="4" width="3.421875" style="20" customWidth="1"/>
  </cols>
  <sheetData>
    <row r="1" spans="1:4" s="14" customFormat="1" ht="27" customHeight="1">
      <c r="A1" s="13" t="s">
        <v>4</v>
      </c>
      <c r="B1" s="95"/>
      <c r="C1" s="13"/>
      <c r="D1" s="75"/>
    </row>
    <row r="2" spans="1:4" s="14" customFormat="1" ht="14.25">
      <c r="A2" s="13" t="s">
        <v>5</v>
      </c>
      <c r="B2" s="95"/>
      <c r="C2" s="13"/>
      <c r="D2" s="75"/>
    </row>
    <row r="3" spans="2:4" s="14" customFormat="1" ht="14.25">
      <c r="B3" s="96"/>
      <c r="D3" s="18"/>
    </row>
    <row r="4" spans="1:4" s="14" customFormat="1" ht="14.25">
      <c r="A4" s="15" t="s">
        <v>6</v>
      </c>
      <c r="B4" s="96"/>
      <c r="D4" s="18"/>
    </row>
    <row r="5" spans="1:6" s="14" customFormat="1" ht="30.75" customHeight="1">
      <c r="A5" s="123" t="s">
        <v>189</v>
      </c>
      <c r="B5" s="123"/>
      <c r="C5" s="123"/>
      <c r="D5" s="91"/>
      <c r="E5" s="91"/>
      <c r="F5" s="90"/>
    </row>
    <row r="6" spans="1:6" s="14" customFormat="1" ht="14.25" customHeight="1" thickBot="1">
      <c r="A6" s="103"/>
      <c r="B6" s="103"/>
      <c r="C6" s="103"/>
      <c r="D6" s="91"/>
      <c r="E6" s="91"/>
      <c r="F6" s="90"/>
    </row>
    <row r="7" spans="1:6" s="14" customFormat="1" ht="18" customHeight="1" thickBot="1">
      <c r="A7" s="103" t="s">
        <v>179</v>
      </c>
      <c r="B7" s="122" t="s">
        <v>9</v>
      </c>
      <c r="C7" s="48">
        <v>2000000000</v>
      </c>
      <c r="D7" s="91"/>
      <c r="E7" s="91"/>
      <c r="F7" s="90"/>
    </row>
    <row r="8" ht="14.25">
      <c r="C8" s="87"/>
    </row>
    <row r="9" ht="15" thickBot="1">
      <c r="A9" s="71" t="s">
        <v>26</v>
      </c>
    </row>
    <row r="10" spans="1:4" ht="15" thickBot="1">
      <c r="A10" t="s">
        <v>27</v>
      </c>
      <c r="C10" s="48"/>
      <c r="D10" s="19"/>
    </row>
    <row r="12" ht="15" thickBot="1">
      <c r="A12" s="16" t="s">
        <v>7</v>
      </c>
    </row>
    <row r="13" spans="1:5" ht="15" thickBot="1">
      <c r="A13" s="78" t="s">
        <v>8</v>
      </c>
      <c r="B13" s="98" t="s">
        <v>9</v>
      </c>
      <c r="C13" s="121">
        <f>C7</f>
        <v>2000000000</v>
      </c>
      <c r="D13" s="19"/>
      <c r="E13" s="17" t="s">
        <v>10</v>
      </c>
    </row>
    <row r="14" spans="1:5" ht="15" thickBot="1">
      <c r="A14" s="79" t="s">
        <v>11</v>
      </c>
      <c r="B14" s="99" t="s">
        <v>12</v>
      </c>
      <c r="C14" s="80">
        <v>60</v>
      </c>
      <c r="D14" s="19"/>
      <c r="E14" s="17" t="s">
        <v>13</v>
      </c>
    </row>
    <row r="15" spans="1:5" ht="15" thickBot="1">
      <c r="A15" s="79" t="s">
        <v>14</v>
      </c>
      <c r="B15" s="99" t="s">
        <v>183</v>
      </c>
      <c r="C15" s="80">
        <v>5</v>
      </c>
      <c r="D15" s="19"/>
      <c r="E15" s="17" t="s">
        <v>15</v>
      </c>
    </row>
    <row r="16" spans="1:5" ht="15" thickBot="1">
      <c r="A16" s="79" t="s">
        <v>144</v>
      </c>
      <c r="B16" s="99"/>
      <c r="C16" s="80">
        <v>200</v>
      </c>
      <c r="D16" s="19"/>
      <c r="E16" s="17" t="s">
        <v>170</v>
      </c>
    </row>
    <row r="17" spans="1:5" ht="15" thickBot="1">
      <c r="A17" s="79" t="s">
        <v>16</v>
      </c>
      <c r="B17" s="99"/>
      <c r="C17" s="80">
        <v>46</v>
      </c>
      <c r="D17" s="19"/>
      <c r="E17" s="17" t="s">
        <v>17</v>
      </c>
    </row>
    <row r="18" spans="1:5" ht="14.25">
      <c r="A18" s="81" t="s">
        <v>18</v>
      </c>
      <c r="B18" s="99" t="s">
        <v>19</v>
      </c>
      <c r="C18" s="82">
        <f>Employment!C13</f>
        <v>724637.6811594203</v>
      </c>
      <c r="D18" s="76"/>
      <c r="E18" s="17"/>
    </row>
    <row r="19" spans="1:5" ht="14.25">
      <c r="A19" s="83" t="s">
        <v>20</v>
      </c>
      <c r="B19" s="99" t="s">
        <v>183</v>
      </c>
      <c r="C19" s="84">
        <f>C20*C18*C17</f>
        <v>52810953000</v>
      </c>
      <c r="D19" s="19"/>
      <c r="E19" s="17" t="s">
        <v>192</v>
      </c>
    </row>
    <row r="20" spans="1:4" ht="14.25">
      <c r="A20" s="83" t="s">
        <v>21</v>
      </c>
      <c r="B20" s="99" t="s">
        <v>183</v>
      </c>
      <c r="C20" s="84">
        <f>'Planting Cost and Info'!C58</f>
        <v>1584.32859</v>
      </c>
      <c r="D20" s="19"/>
    </row>
    <row r="21" spans="1:4" ht="14.25">
      <c r="A21" s="85" t="s">
        <v>168</v>
      </c>
      <c r="B21" s="99" t="s">
        <v>22</v>
      </c>
      <c r="C21" s="84">
        <f>Employment!C49</f>
        <v>1580531.84057971</v>
      </c>
      <c r="D21" s="19"/>
    </row>
    <row r="22" spans="1:4" ht="14.25">
      <c r="A22" s="83" t="s">
        <v>23</v>
      </c>
      <c r="B22" s="99" t="s">
        <v>24</v>
      </c>
      <c r="C22" s="84">
        <f>Nursery!C26</f>
        <v>31086956.521739133</v>
      </c>
      <c r="D22" s="19"/>
    </row>
    <row r="23" spans="1:4" ht="15" thickBot="1">
      <c r="A23" s="92" t="s">
        <v>158</v>
      </c>
      <c r="B23" s="99" t="s">
        <v>183</v>
      </c>
      <c r="C23" s="93">
        <f>'Planting Cost and Info'!C59</f>
        <v>7.921642950000001</v>
      </c>
      <c r="D23" s="19"/>
    </row>
    <row r="24" spans="1:4" ht="15" thickBot="1">
      <c r="A24" s="115" t="s">
        <v>186</v>
      </c>
      <c r="B24" s="100" t="s">
        <v>183</v>
      </c>
      <c r="C24" s="94">
        <f>C19</f>
        <v>52810953000</v>
      </c>
      <c r="D24" s="19"/>
    </row>
    <row r="25" spans="1:4" s="20" customFormat="1" ht="15" thickBot="1">
      <c r="A25" s="18"/>
      <c r="B25" s="101"/>
      <c r="C25" s="19"/>
      <c r="D25" s="19"/>
    </row>
    <row r="26" spans="1:3" ht="15" thickBot="1">
      <c r="A26" s="88" t="s">
        <v>159</v>
      </c>
      <c r="B26" s="102" t="s">
        <v>183</v>
      </c>
      <c r="C26" s="89">
        <f>C20/2.5</f>
        <v>633.731436</v>
      </c>
    </row>
    <row r="28" spans="1:4" ht="14.25">
      <c r="A28" s="14"/>
      <c r="B28" s="96"/>
      <c r="C28" s="14"/>
      <c r="D28" s="18"/>
    </row>
  </sheetData>
  <sheetProtection selectLockedCells="1" selectUnlockedCells="1"/>
  <mergeCells count="1">
    <mergeCell ref="A5:C5"/>
  </mergeCells>
  <printOptions/>
  <pageMargins left="0.7" right="0.7" top="0.75" bottom="0.75" header="0.5118055555555555" footer="0.5118055555555555"/>
  <pageSetup fitToHeight="0" fitToWidth="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6">
      <selection activeCell="A1" sqref="A1"/>
    </sheetView>
  </sheetViews>
  <sheetFormatPr defaultColWidth="9.140625" defaultRowHeight="15"/>
  <cols>
    <col min="1" max="1" width="64.00390625" style="0" customWidth="1"/>
    <col min="2" max="2" width="9.57421875" style="97" bestFit="1" customWidth="1"/>
    <col min="3" max="3" width="23.421875" style="0" bestFit="1" customWidth="1"/>
    <col min="4" max="4" width="3.421875" style="20" customWidth="1"/>
    <col min="11" max="11" width="17.421875" style="0" bestFit="1" customWidth="1"/>
  </cols>
  <sheetData>
    <row r="1" spans="1:4" s="14" customFormat="1" ht="27" customHeight="1">
      <c r="A1" s="13" t="s">
        <v>4</v>
      </c>
      <c r="B1" s="95"/>
      <c r="C1" s="13"/>
      <c r="D1" s="75"/>
    </row>
    <row r="2" spans="1:4" s="14" customFormat="1" ht="15">
      <c r="A2" s="13" t="s">
        <v>5</v>
      </c>
      <c r="B2" s="95"/>
      <c r="C2" s="13"/>
      <c r="D2" s="75"/>
    </row>
    <row r="3" spans="2:4" s="14" customFormat="1" ht="15">
      <c r="B3" s="96"/>
      <c r="D3" s="18"/>
    </row>
    <row r="4" spans="1:4" s="14" customFormat="1" ht="15">
      <c r="A4" s="15" t="s">
        <v>6</v>
      </c>
      <c r="B4" s="96"/>
      <c r="D4" s="18"/>
    </row>
    <row r="5" spans="1:6" s="14" customFormat="1" ht="30.75" customHeight="1">
      <c r="A5" s="123" t="s">
        <v>189</v>
      </c>
      <c r="B5" s="123"/>
      <c r="C5" s="123"/>
      <c r="D5" s="91"/>
      <c r="E5" s="91"/>
      <c r="F5" s="90"/>
    </row>
    <row r="6" ht="15">
      <c r="C6" s="87"/>
    </row>
    <row r="7" ht="15.75" thickBot="1">
      <c r="A7" s="71" t="s">
        <v>26</v>
      </c>
    </row>
    <row r="8" spans="1:4" ht="15.75" thickBot="1">
      <c r="A8" t="s">
        <v>27</v>
      </c>
      <c r="C8" s="48"/>
      <c r="D8" s="19"/>
    </row>
    <row r="9" ht="15"/>
    <row r="10" ht="15.75" thickBot="1">
      <c r="A10" s="16" t="s">
        <v>7</v>
      </c>
    </row>
    <row r="11" spans="1:5" ht="15.75" thickBot="1">
      <c r="A11" s="78" t="s">
        <v>171</v>
      </c>
      <c r="B11" s="98" t="s">
        <v>9</v>
      </c>
      <c r="C11" s="116">
        <f>'Introduction and Summary'!C13</f>
        <v>2000000000</v>
      </c>
      <c r="D11" s="19"/>
      <c r="E11" s="17"/>
    </row>
    <row r="12" spans="1:5" ht="15.75" thickBot="1">
      <c r="A12" s="79" t="s">
        <v>162</v>
      </c>
      <c r="B12" s="99" t="s">
        <v>183</v>
      </c>
      <c r="C12" s="80">
        <v>2000</v>
      </c>
      <c r="D12" s="19"/>
      <c r="E12" s="17" t="s">
        <v>165</v>
      </c>
    </row>
    <row r="13" spans="1:5" ht="15.75" thickBot="1">
      <c r="A13" s="79" t="s">
        <v>163</v>
      </c>
      <c r="B13" s="99"/>
      <c r="C13" s="119">
        <v>0.5</v>
      </c>
      <c r="D13" s="19"/>
      <c r="E13" s="17" t="s">
        <v>166</v>
      </c>
    </row>
    <row r="14" spans="1:5" ht="15">
      <c r="A14" s="104" t="s">
        <v>164</v>
      </c>
      <c r="B14" s="99"/>
      <c r="C14" s="120">
        <v>0.5</v>
      </c>
      <c r="D14" s="19"/>
      <c r="E14" s="17" t="s">
        <v>167</v>
      </c>
    </row>
    <row r="15" spans="1:5" ht="15">
      <c r="A15" s="117" t="s">
        <v>172</v>
      </c>
      <c r="B15" s="99" t="s">
        <v>173</v>
      </c>
      <c r="C15" s="117">
        <v>5</v>
      </c>
      <c r="D15" s="19"/>
      <c r="E15" s="17"/>
    </row>
    <row r="16" spans="1:4" ht="15">
      <c r="A16" s="108" t="s">
        <v>191</v>
      </c>
      <c r="B16" s="106" t="s">
        <v>176</v>
      </c>
      <c r="C16" s="107">
        <f>C11*C13</f>
        <v>1000000000</v>
      </c>
      <c r="D16" s="19"/>
    </row>
    <row r="17" spans="1:4" ht="15">
      <c r="A17" s="108" t="s">
        <v>190</v>
      </c>
      <c r="B17" s="106" t="s">
        <v>176</v>
      </c>
      <c r="C17" s="107">
        <f>C11*C14</f>
        <v>1000000000</v>
      </c>
      <c r="D17" s="19"/>
    </row>
    <row r="18" spans="1:4" ht="15">
      <c r="A18" s="108" t="s">
        <v>174</v>
      </c>
      <c r="B18" s="106" t="s">
        <v>173</v>
      </c>
      <c r="C18" s="107">
        <f>C11*C15</f>
        <v>10000000000</v>
      </c>
      <c r="D18" s="19"/>
    </row>
    <row r="19" spans="1:11" ht="15">
      <c r="A19" s="108" t="s">
        <v>180</v>
      </c>
      <c r="B19" s="106" t="s">
        <v>12</v>
      </c>
      <c r="C19" s="107">
        <f>K19/('Introduction and Summary'!C18*'Introduction and Summary'!C17*'Annual advantages'!B20)</f>
        <v>50.1</v>
      </c>
      <c r="D19" s="19"/>
      <c r="E19" s="17" t="s">
        <v>181</v>
      </c>
      <c r="K19" s="87">
        <v>33400000000</v>
      </c>
    </row>
    <row r="20" spans="1:5" ht="15">
      <c r="A20" s="108" t="s">
        <v>187</v>
      </c>
      <c r="B20" s="109">
        <v>20</v>
      </c>
      <c r="C20" s="110">
        <f>C11*B20</f>
        <v>40000000000</v>
      </c>
      <c r="D20" s="19"/>
      <c r="E20" s="17" t="s">
        <v>182</v>
      </c>
    </row>
    <row r="21" spans="1:8" ht="15">
      <c r="A21" s="108" t="s">
        <v>188</v>
      </c>
      <c r="B21" s="109">
        <v>100</v>
      </c>
      <c r="C21" s="107">
        <f>C20*B21</f>
        <v>4000000000000</v>
      </c>
      <c r="D21" s="19"/>
      <c r="F21" s="20"/>
      <c r="G21" s="20"/>
      <c r="H21" s="20"/>
    </row>
    <row r="22" spans="1:8" ht="15">
      <c r="A22" s="105" t="s">
        <v>126</v>
      </c>
      <c r="B22" s="106" t="s">
        <v>183</v>
      </c>
      <c r="C22" s="111">
        <f>'Introduction and Summary'!C24/'Annual advantages'!C21</f>
        <v>0.01320273825</v>
      </c>
      <c r="D22" s="77"/>
      <c r="F22" s="20"/>
      <c r="G22" s="75"/>
      <c r="H22" s="20"/>
    </row>
    <row r="23" spans="1:8" ht="15">
      <c r="A23" s="105" t="s">
        <v>25</v>
      </c>
      <c r="B23" s="106" t="s">
        <v>177</v>
      </c>
      <c r="C23" s="107">
        <f>'Planting Cost and Info'!C16*'Planting Cost and Info'!C25*'Planting Cost and Info'!C8</f>
        <v>360000000000</v>
      </c>
      <c r="D23" s="77"/>
      <c r="F23" s="20"/>
      <c r="G23" s="20"/>
      <c r="H23" s="20"/>
    </row>
    <row r="24" spans="1:5" ht="15">
      <c r="A24" s="114" t="s">
        <v>175</v>
      </c>
      <c r="B24" s="112" t="s">
        <v>183</v>
      </c>
      <c r="C24" s="113">
        <f>C11*C12</f>
        <v>4000000000000</v>
      </c>
      <c r="D24" s="19"/>
      <c r="E24" s="17" t="s">
        <v>169</v>
      </c>
    </row>
    <row r="25" spans="1:4" s="20" customFormat="1" ht="14.25">
      <c r="A25" s="18"/>
      <c r="B25" s="101"/>
      <c r="C25" s="19"/>
      <c r="D25" s="19"/>
    </row>
    <row r="27" spans="1:4" ht="14.25">
      <c r="A27" s="14"/>
      <c r="B27" s="96"/>
      <c r="C27" s="14"/>
      <c r="D27" s="18"/>
    </row>
  </sheetData>
  <sheetProtection/>
  <mergeCells count="1">
    <mergeCell ref="A5:C5"/>
  </mergeCell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P59"/>
  <sheetViews>
    <sheetView zoomScale="85" zoomScaleNormal="85" zoomScaleSheetLayoutView="160" zoomScalePageLayoutView="0" workbookViewId="0" topLeftCell="A36">
      <selection activeCell="A1" sqref="A1"/>
    </sheetView>
  </sheetViews>
  <sheetFormatPr defaultColWidth="9.140625" defaultRowHeight="15"/>
  <cols>
    <col min="1" max="1" width="75.8515625" style="0" customWidth="1"/>
    <col min="2" max="2" width="15.421875" style="0" bestFit="1" customWidth="1"/>
    <col min="3" max="3" width="14.57421875" style="0" bestFit="1" customWidth="1"/>
    <col min="4" max="4" width="3.8515625" style="0" customWidth="1"/>
    <col min="9" max="9" width="13.421875" style="0" bestFit="1" customWidth="1"/>
  </cols>
  <sheetData>
    <row r="1" spans="1:5" s="14" customFormat="1" ht="27" customHeight="1">
      <c r="A1" s="13" t="s">
        <v>4</v>
      </c>
      <c r="B1" s="13"/>
      <c r="C1" s="13"/>
      <c r="D1" s="75"/>
      <c r="E1" s="75"/>
    </row>
    <row r="2" spans="1:5" s="14" customFormat="1" ht="14.25">
      <c r="A2" s="13" t="s">
        <v>5</v>
      </c>
      <c r="B2" s="13"/>
      <c r="C2" s="13"/>
      <c r="D2" s="75"/>
      <c r="E2" s="75"/>
    </row>
    <row r="4" ht="14.25">
      <c r="A4" t="s">
        <v>131</v>
      </c>
    </row>
    <row r="6" spans="1:3" ht="14.25">
      <c r="A6" s="22" t="s">
        <v>28</v>
      </c>
      <c r="B6" s="23" t="s">
        <v>29</v>
      </c>
      <c r="C6" s="24" t="s">
        <v>30</v>
      </c>
    </row>
    <row r="8" spans="1:3" ht="14.25">
      <c r="A8" t="s">
        <v>31</v>
      </c>
      <c r="B8" t="s">
        <v>9</v>
      </c>
      <c r="C8" s="19">
        <f>'Introduction and Summary'!C13</f>
        <v>2000000000</v>
      </c>
    </row>
    <row r="9" spans="1:3" ht="14.25">
      <c r="A9" t="s">
        <v>32</v>
      </c>
      <c r="B9" t="s">
        <v>12</v>
      </c>
      <c r="C9" s="60">
        <f>'Introduction and Summary'!C14</f>
        <v>60</v>
      </c>
    </row>
    <row r="10" spans="3:9" ht="14.25">
      <c r="C10" s="20"/>
      <c r="I10" s="87"/>
    </row>
    <row r="11" spans="1:3" ht="14.25">
      <c r="A11" t="s">
        <v>33</v>
      </c>
      <c r="B11" t="s">
        <v>183</v>
      </c>
      <c r="C11" s="60">
        <f>Employment!C38*'Introduction and Summary'!C15</f>
        <v>40</v>
      </c>
    </row>
    <row r="12" spans="1:3" ht="14.25">
      <c r="A12" s="25" t="s">
        <v>34</v>
      </c>
      <c r="B12" s="29" t="s">
        <v>183</v>
      </c>
      <c r="C12" s="26">
        <f>C11</f>
        <v>40</v>
      </c>
    </row>
    <row r="14" spans="1:5" ht="14.25">
      <c r="A14" t="s">
        <v>156</v>
      </c>
      <c r="B14" t="s">
        <v>9</v>
      </c>
      <c r="C14" s="20">
        <f>'Introduction and Summary'!C16</f>
        <v>200</v>
      </c>
      <c r="E14" s="20"/>
    </row>
    <row r="15" spans="1:16" ht="14.25">
      <c r="A15" t="s">
        <v>132</v>
      </c>
      <c r="C15" s="27">
        <v>1</v>
      </c>
      <c r="E15" s="17" t="s">
        <v>35</v>
      </c>
      <c r="M15" s="28"/>
      <c r="N15" s="28"/>
      <c r="O15" s="28"/>
      <c r="P15" s="28"/>
    </row>
    <row r="16" spans="1:3" ht="14.25">
      <c r="A16" t="s">
        <v>151</v>
      </c>
      <c r="C16" s="20">
        <f>C14*C15</f>
        <v>200</v>
      </c>
    </row>
    <row r="17" spans="1:15" ht="14.25">
      <c r="A17" t="s">
        <v>150</v>
      </c>
      <c r="C17" s="86">
        <v>1</v>
      </c>
      <c r="E17" s="17" t="s">
        <v>149</v>
      </c>
      <c r="M17" s="28">
        <v>1</v>
      </c>
      <c r="N17" s="28">
        <v>2</v>
      </c>
      <c r="O17" s="28">
        <v>5</v>
      </c>
    </row>
    <row r="18" spans="1:5" ht="14.25">
      <c r="A18" t="s">
        <v>36</v>
      </c>
      <c r="B18" t="s">
        <v>183</v>
      </c>
      <c r="C18" s="30">
        <v>1</v>
      </c>
      <c r="D18" s="20"/>
      <c r="E18" s="17" t="s">
        <v>154</v>
      </c>
    </row>
    <row r="19" spans="1:5" ht="14.25">
      <c r="A19" t="s">
        <v>37</v>
      </c>
      <c r="B19" t="s">
        <v>183</v>
      </c>
      <c r="C19" s="30">
        <v>0</v>
      </c>
      <c r="D19" s="20"/>
      <c r="E19" s="17" t="s">
        <v>155</v>
      </c>
    </row>
    <row r="20" spans="1:5" ht="14.25">
      <c r="A20" t="s">
        <v>146</v>
      </c>
      <c r="B20" t="s">
        <v>183</v>
      </c>
      <c r="C20" s="30">
        <v>0</v>
      </c>
      <c r="D20" s="20"/>
      <c r="E20" s="17" t="s">
        <v>155</v>
      </c>
    </row>
    <row r="21" spans="1:5" ht="14.25">
      <c r="A21" t="s">
        <v>147</v>
      </c>
      <c r="B21" t="s">
        <v>183</v>
      </c>
      <c r="C21" s="30">
        <v>0</v>
      </c>
      <c r="D21" s="20"/>
      <c r="E21" s="17" t="s">
        <v>155</v>
      </c>
    </row>
    <row r="22" spans="1:5" ht="14.25">
      <c r="A22" t="s">
        <v>148</v>
      </c>
      <c r="B22" t="s">
        <v>183</v>
      </c>
      <c r="C22" s="30">
        <v>0</v>
      </c>
      <c r="D22" s="20"/>
      <c r="E22" s="17" t="s">
        <v>155</v>
      </c>
    </row>
    <row r="23" spans="1:3" ht="14.25">
      <c r="A23" s="25" t="s">
        <v>38</v>
      </c>
      <c r="B23" s="25" t="s">
        <v>183</v>
      </c>
      <c r="C23" s="62">
        <f>IF(C17=M17,C16*C18,IF(C17=N17,(C16/N17)*(C19+C18),(C16/O17)*(C18+C19+C20+C21+C22)))</f>
        <v>200</v>
      </c>
    </row>
    <row r="25" spans="1:3" ht="14.25">
      <c r="A25" t="s">
        <v>39</v>
      </c>
      <c r="B25" t="s">
        <v>40</v>
      </c>
      <c r="C25" s="31">
        <v>0.9</v>
      </c>
    </row>
    <row r="26" spans="1:3" ht="14.25">
      <c r="A26" t="s">
        <v>41</v>
      </c>
      <c r="C26" s="32">
        <f>C25*C16</f>
        <v>180</v>
      </c>
    </row>
    <row r="27" spans="1:3" ht="14.25">
      <c r="A27" t="s">
        <v>42</v>
      </c>
      <c r="B27" t="s">
        <v>24</v>
      </c>
      <c r="C27" s="32">
        <f>ROUND(10000/(C16*C25),0)</f>
        <v>56</v>
      </c>
    </row>
    <row r="29" spans="1:16" ht="14.25">
      <c r="A29" t="s">
        <v>133</v>
      </c>
      <c r="B29" t="s">
        <v>183</v>
      </c>
      <c r="C29" s="27">
        <v>2.29</v>
      </c>
      <c r="E29" s="33" t="s">
        <v>43</v>
      </c>
      <c r="F29" s="34"/>
      <c r="G29" s="34"/>
      <c r="H29" s="34"/>
      <c r="I29" s="34"/>
      <c r="J29" s="34"/>
      <c r="K29" s="34"/>
      <c r="L29" s="34"/>
      <c r="M29" s="34"/>
      <c r="N29" s="34"/>
      <c r="O29" s="34"/>
      <c r="P29" s="34"/>
    </row>
    <row r="30" spans="1:16" ht="14.25">
      <c r="A30" s="25" t="s">
        <v>134</v>
      </c>
      <c r="B30" s="25" t="s">
        <v>183</v>
      </c>
      <c r="C30" s="26">
        <f>C14*C29</f>
        <v>458</v>
      </c>
      <c r="E30" s="33"/>
      <c r="F30" s="34"/>
      <c r="G30" s="34"/>
      <c r="H30" s="34"/>
      <c r="I30" s="34"/>
      <c r="J30" s="34"/>
      <c r="K30" s="34"/>
      <c r="L30" s="34"/>
      <c r="M30" s="34"/>
      <c r="N30" s="34"/>
      <c r="O30" s="34"/>
      <c r="P30" s="34"/>
    </row>
    <row r="32" spans="1:3" ht="14.25">
      <c r="A32" t="s">
        <v>44</v>
      </c>
      <c r="C32" s="35">
        <f>C14</f>
        <v>200</v>
      </c>
    </row>
    <row r="33" spans="1:3" ht="14.25">
      <c r="A33" t="s">
        <v>45</v>
      </c>
      <c r="B33" t="s">
        <v>183</v>
      </c>
      <c r="C33" s="30">
        <v>0.18</v>
      </c>
    </row>
    <row r="34" spans="1:3" ht="14.25">
      <c r="A34" t="s">
        <v>46</v>
      </c>
      <c r="B34" t="s">
        <v>183</v>
      </c>
      <c r="C34" s="36">
        <f>'Introduction and Summary'!C15/Employment!C23</f>
        <v>0.25</v>
      </c>
    </row>
    <row r="35" spans="1:3" ht="15">
      <c r="A35" s="25" t="s">
        <v>47</v>
      </c>
      <c r="B35" s="25" t="s">
        <v>183</v>
      </c>
      <c r="C35" s="26">
        <f>C32*(C33+C34)</f>
        <v>86</v>
      </c>
    </row>
    <row r="37" spans="1:3" ht="15">
      <c r="A37" t="s">
        <v>135</v>
      </c>
      <c r="B37" t="s">
        <v>183</v>
      </c>
      <c r="C37" s="37">
        <f>'Introduction and Summary'!C15/Employment!C28</f>
        <v>0.4166666666666667</v>
      </c>
    </row>
    <row r="38" spans="1:3" ht="30">
      <c r="A38" s="38" t="s">
        <v>48</v>
      </c>
      <c r="B38" t="s">
        <v>183</v>
      </c>
      <c r="C38" s="36">
        <f>Employment!C45/Employment!C29</f>
        <v>0.5208333333333334</v>
      </c>
    </row>
    <row r="39" spans="1:3" ht="15">
      <c r="A39" s="25" t="s">
        <v>49</v>
      </c>
      <c r="B39" s="25" t="s">
        <v>183</v>
      </c>
      <c r="C39" s="26">
        <f>(C37+C38)*C14</f>
        <v>187.5</v>
      </c>
    </row>
    <row r="41" spans="1:16" ht="14.25">
      <c r="A41" s="20" t="s">
        <v>127</v>
      </c>
      <c r="B41" t="s">
        <v>50</v>
      </c>
      <c r="C41" s="27">
        <v>60</v>
      </c>
      <c r="E41" s="39" t="s">
        <v>143</v>
      </c>
      <c r="F41" s="40"/>
      <c r="G41" s="40"/>
      <c r="H41" s="40"/>
      <c r="I41" s="40"/>
      <c r="J41" s="40"/>
      <c r="K41" s="40"/>
      <c r="L41" s="40"/>
      <c r="M41" s="40"/>
      <c r="N41" s="40"/>
      <c r="O41" s="40"/>
      <c r="P41" s="20"/>
    </row>
    <row r="42" spans="1:3" ht="14.25">
      <c r="A42" s="20" t="s">
        <v>51</v>
      </c>
      <c r="B42" t="s">
        <v>183</v>
      </c>
      <c r="C42" s="27">
        <v>0.02</v>
      </c>
    </row>
    <row r="43" spans="1:3" ht="14.25">
      <c r="A43" s="41" t="s">
        <v>52</v>
      </c>
      <c r="B43" s="25" t="s">
        <v>183</v>
      </c>
      <c r="C43" s="25">
        <f>C42*(C41*C14)</f>
        <v>240</v>
      </c>
    </row>
    <row r="44" ht="14.25">
      <c r="A44" s="20"/>
    </row>
    <row r="45" spans="1:4" ht="14.25">
      <c r="A45" s="41" t="s">
        <v>53</v>
      </c>
      <c r="B45" s="41"/>
      <c r="C45" s="41">
        <f>(C14/Employment!C35)*'Introduction and Summary'!C15</f>
        <v>50</v>
      </c>
      <c r="D45" s="20"/>
    </row>
    <row r="46" ht="14.25">
      <c r="A46" s="20"/>
    </row>
    <row r="47" spans="1:3" ht="14.25">
      <c r="A47" s="20" t="s">
        <v>128</v>
      </c>
      <c r="B47" s="20" t="s">
        <v>183</v>
      </c>
      <c r="C47" s="27">
        <v>0.4</v>
      </c>
    </row>
    <row r="48" spans="1:3" ht="14.25">
      <c r="A48" s="41" t="s">
        <v>123</v>
      </c>
      <c r="B48" s="41" t="s">
        <v>183</v>
      </c>
      <c r="C48" s="41">
        <f>C14*C47</f>
        <v>80</v>
      </c>
    </row>
    <row r="49" ht="14.25">
      <c r="D49" s="20"/>
    </row>
    <row r="50" spans="1:5" ht="14.25">
      <c r="A50" s="25" t="s">
        <v>54</v>
      </c>
      <c r="B50" s="25" t="s">
        <v>183</v>
      </c>
      <c r="C50" s="26">
        <f>(('Management Flow Chart'!E28+'Management Flow Chart'!H28)/'Management Flow Chart'!C7)</f>
        <v>12.627</v>
      </c>
      <c r="E50" s="61" t="s">
        <v>122</v>
      </c>
    </row>
    <row r="52" spans="1:3" ht="14.25">
      <c r="A52" s="20" t="s">
        <v>124</v>
      </c>
      <c r="B52" s="20" t="s">
        <v>40</v>
      </c>
      <c r="C52" s="31">
        <v>0.02</v>
      </c>
    </row>
    <row r="53" spans="1:3" ht="14.25">
      <c r="A53" s="41" t="s">
        <v>125</v>
      </c>
      <c r="B53" s="41" t="s">
        <v>184</v>
      </c>
      <c r="C53" s="62">
        <f>C52*(C50+C48+C45+C43+C39+C35+C30+C23+C12)</f>
        <v>27.082539999999998</v>
      </c>
    </row>
    <row r="55" spans="1:3" ht="14.25">
      <c r="A55" t="s">
        <v>55</v>
      </c>
      <c r="B55" t="s">
        <v>40</v>
      </c>
      <c r="C55" s="31">
        <v>0.15</v>
      </c>
    </row>
    <row r="56" spans="1:3" ht="14.25">
      <c r="A56" s="25" t="s">
        <v>56</v>
      </c>
      <c r="B56" s="25" t="s">
        <v>184</v>
      </c>
      <c r="C56" s="26">
        <f>C55*(C50+C48+C45+C43+C39+C35+C30+C23+C12)</f>
        <v>203.11905</v>
      </c>
    </row>
    <row r="58" spans="1:3" ht="14.25">
      <c r="A58" s="49" t="s">
        <v>57</v>
      </c>
      <c r="B58" s="49" t="s">
        <v>184</v>
      </c>
      <c r="C58" s="50">
        <f>C12+C23+C30+C35+C39+C43+C45+C48+C50+C53+C56</f>
        <v>1584.32859</v>
      </c>
    </row>
    <row r="59" spans="1:3" ht="14.25">
      <c r="A59" s="51"/>
      <c r="B59" s="49" t="s">
        <v>185</v>
      </c>
      <c r="C59" s="52">
        <f>C58/C16</f>
        <v>7.921642950000001</v>
      </c>
    </row>
  </sheetData>
  <sheetProtection selectLockedCells="1" selectUnlockedCells="1"/>
  <dataValidations count="1">
    <dataValidation type="list" allowBlank="1" showErrorMessage="1" sqref="C17 C15">
      <formula1>$M$17:$O$17</formula1>
    </dataValidation>
  </dataValidations>
  <printOptions/>
  <pageMargins left="0.7" right="0.7" top="0.75" bottom="0.75" header="0.5118055555555555" footer="0.5118055555555555"/>
  <pageSetup horizontalDpi="300" verticalDpi="300" orientation="portrait" paperSize="9" scale="82" r:id="rId4"/>
  <colBreaks count="1" manualBreakCount="1">
    <brk id="3" max="57" man="1"/>
  </colBreaks>
  <drawing r:id="rId3"/>
  <legacyDrawing r:id="rId2"/>
</worksheet>
</file>

<file path=xl/worksheets/sheet5.xml><?xml version="1.0" encoding="utf-8"?>
<worksheet xmlns="http://schemas.openxmlformats.org/spreadsheetml/2006/main" xmlns:r="http://schemas.openxmlformats.org/officeDocument/2006/relationships">
  <dimension ref="A1:X49"/>
  <sheetViews>
    <sheetView zoomScaleSheetLayoutView="175" zoomScalePageLayoutView="0" workbookViewId="0" topLeftCell="A1">
      <selection activeCell="A1" sqref="A1"/>
    </sheetView>
  </sheetViews>
  <sheetFormatPr defaultColWidth="9.140625" defaultRowHeight="15"/>
  <cols>
    <col min="1" max="1" width="73.421875" style="0" customWidth="1"/>
    <col min="3" max="3" width="14.00390625" style="0" customWidth="1"/>
    <col min="4" max="4" width="5.00390625" style="0" customWidth="1"/>
    <col min="10" max="10" width="10.00390625" style="0" customWidth="1"/>
  </cols>
  <sheetData>
    <row r="1" spans="1:5" s="14" customFormat="1" ht="27" customHeight="1">
      <c r="A1" s="13" t="s">
        <v>4</v>
      </c>
      <c r="B1" s="13"/>
      <c r="C1" s="13"/>
      <c r="D1" s="18"/>
      <c r="E1" s="18"/>
    </row>
    <row r="2" spans="1:5" s="14" customFormat="1" ht="14.25" customHeight="1">
      <c r="A2" s="13" t="s">
        <v>5</v>
      </c>
      <c r="B2" s="13"/>
      <c r="C2" s="13"/>
      <c r="D2" s="18"/>
      <c r="E2" s="18"/>
    </row>
    <row r="4" ht="14.25">
      <c r="A4" t="s">
        <v>58</v>
      </c>
    </row>
    <row r="6" spans="1:3" ht="14.25">
      <c r="A6" s="22" t="s">
        <v>28</v>
      </c>
      <c r="B6" s="23" t="s">
        <v>29</v>
      </c>
      <c r="C6" s="24" t="s">
        <v>30</v>
      </c>
    </row>
    <row r="8" spans="1:3" ht="14.25">
      <c r="A8" t="s">
        <v>31</v>
      </c>
      <c r="B8" t="s">
        <v>9</v>
      </c>
      <c r="C8" s="19">
        <f>'Planting Cost and Info'!C8</f>
        <v>2000000000</v>
      </c>
    </row>
    <row r="9" spans="1:3" ht="14.25">
      <c r="A9" t="s">
        <v>32</v>
      </c>
      <c r="B9" t="s">
        <v>12</v>
      </c>
      <c r="C9" s="19">
        <f>'Planting Cost and Info'!C9</f>
        <v>60</v>
      </c>
    </row>
    <row r="11" spans="1:3" ht="14.25">
      <c r="A11" t="s">
        <v>59</v>
      </c>
      <c r="B11" t="s">
        <v>9</v>
      </c>
      <c r="C11" s="19">
        <f>C8/C9</f>
        <v>33333333.333333332</v>
      </c>
    </row>
    <row r="12" spans="1:3" ht="14.25">
      <c r="A12" t="s">
        <v>60</v>
      </c>
      <c r="B12" t="s">
        <v>61</v>
      </c>
      <c r="C12" s="19">
        <f>'Introduction and Summary'!C17</f>
        <v>46</v>
      </c>
    </row>
    <row r="13" spans="1:3" ht="14.25">
      <c r="A13" t="s">
        <v>62</v>
      </c>
      <c r="B13" t="s">
        <v>9</v>
      </c>
      <c r="C13" s="63">
        <f>C11/C12</f>
        <v>724637.6811594203</v>
      </c>
    </row>
    <row r="15" spans="1:3" ht="14.25">
      <c r="A15" t="s">
        <v>136</v>
      </c>
      <c r="C15" s="42">
        <f>C13*'Planting Cost and Info'!C14</f>
        <v>144927536.23188406</v>
      </c>
    </row>
    <row r="16" spans="1:3" ht="14.25">
      <c r="A16" t="s">
        <v>63</v>
      </c>
      <c r="C16" s="42">
        <f>C13*'Planting Cost and Info'!C16</f>
        <v>144927536.23188406</v>
      </c>
    </row>
    <row r="18" spans="1:3" ht="14.25">
      <c r="A18" t="s">
        <v>64</v>
      </c>
      <c r="B18" t="s">
        <v>65</v>
      </c>
      <c r="C18" s="27">
        <v>5</v>
      </c>
    </row>
    <row r="19" spans="1:3" ht="14.25">
      <c r="A19" t="s">
        <v>66</v>
      </c>
      <c r="B19" t="s">
        <v>67</v>
      </c>
      <c r="C19" s="27">
        <v>8</v>
      </c>
    </row>
    <row r="20" spans="1:3" ht="14.25">
      <c r="A20" t="s">
        <v>137</v>
      </c>
      <c r="C20" s="42">
        <f>C15/C18</f>
        <v>28985507.246376812</v>
      </c>
    </row>
    <row r="22" spans="1:3" ht="14.25">
      <c r="A22" t="s">
        <v>68</v>
      </c>
      <c r="B22" t="s">
        <v>67</v>
      </c>
      <c r="C22" s="27">
        <v>12</v>
      </c>
    </row>
    <row r="23" spans="1:3" ht="14.25">
      <c r="A23" t="s">
        <v>69</v>
      </c>
      <c r="C23" s="27">
        <v>20</v>
      </c>
    </row>
    <row r="24" spans="1:3" ht="14.25">
      <c r="A24" t="s">
        <v>70</v>
      </c>
      <c r="C24" s="35">
        <f>C22*C23</f>
        <v>240</v>
      </c>
    </row>
    <row r="25" spans="1:3" ht="14.25">
      <c r="A25" t="s">
        <v>71</v>
      </c>
      <c r="C25" s="42">
        <f>ROUND(C20/C24,0)</f>
        <v>120773</v>
      </c>
    </row>
    <row r="26" spans="1:11" ht="14.25">
      <c r="A26" s="25" t="s">
        <v>72</v>
      </c>
      <c r="B26" s="25"/>
      <c r="C26" s="26">
        <f>ROUND(C25*C22/C19,0)</f>
        <v>181160</v>
      </c>
      <c r="K26" s="43"/>
    </row>
    <row r="28" spans="1:3" ht="14.25">
      <c r="A28" t="s">
        <v>138</v>
      </c>
      <c r="C28" s="27">
        <v>12</v>
      </c>
    </row>
    <row r="29" spans="1:3" ht="14.25">
      <c r="A29" t="s">
        <v>139</v>
      </c>
      <c r="C29" s="35">
        <f>C19*C28</f>
        <v>96</v>
      </c>
    </row>
    <row r="30" spans="1:3" ht="14.25">
      <c r="A30" s="25" t="s">
        <v>73</v>
      </c>
      <c r="B30" s="25"/>
      <c r="C30" s="26">
        <f>ROUND(C20/C29,0)</f>
        <v>301932</v>
      </c>
    </row>
    <row r="31" ht="14.25">
      <c r="A31" s="25"/>
    </row>
    <row r="32" spans="1:3" ht="14.25">
      <c r="A32" t="s">
        <v>140</v>
      </c>
      <c r="B32" s="25"/>
      <c r="C32" s="27">
        <v>100</v>
      </c>
    </row>
    <row r="33" spans="1:3" ht="14.25">
      <c r="A33" s="25" t="s">
        <v>74</v>
      </c>
      <c r="B33" s="25"/>
      <c r="C33" s="62">
        <f>((C15/C18)/C32)/C19</f>
        <v>36231.884057971016</v>
      </c>
    </row>
    <row r="34" spans="2:3" ht="14.25">
      <c r="B34" s="25"/>
      <c r="C34" s="26"/>
    </row>
    <row r="35" spans="1:24" ht="14.25">
      <c r="A35" t="s">
        <v>141</v>
      </c>
      <c r="B35" s="29"/>
      <c r="C35" s="27">
        <v>20</v>
      </c>
      <c r="E35" s="39" t="s">
        <v>143</v>
      </c>
      <c r="F35" s="39"/>
      <c r="G35" s="39"/>
      <c r="H35" s="39"/>
      <c r="I35" s="39"/>
      <c r="J35" s="39"/>
      <c r="K35" s="39"/>
      <c r="L35" s="39"/>
      <c r="M35" s="39"/>
      <c r="N35" s="39"/>
      <c r="O35" s="20"/>
      <c r="P35" s="20"/>
      <c r="Q35" s="20"/>
      <c r="R35" s="20"/>
      <c r="S35" s="20"/>
      <c r="T35" s="20"/>
      <c r="U35" s="20"/>
      <c r="V35" s="20"/>
      <c r="W35" s="20"/>
      <c r="X35" s="20"/>
    </row>
    <row r="36" spans="1:3" ht="14.25">
      <c r="A36" s="25" t="s">
        <v>75</v>
      </c>
      <c r="B36" s="25"/>
      <c r="C36" s="26">
        <f>((C15/C18)/C35)/C19</f>
        <v>181159.42028985507</v>
      </c>
    </row>
    <row r="38" spans="1:3" ht="14.25">
      <c r="A38" t="s">
        <v>76</v>
      </c>
      <c r="B38" t="s">
        <v>67</v>
      </c>
      <c r="C38" s="27">
        <v>8</v>
      </c>
    </row>
    <row r="39" spans="1:3" ht="14.25">
      <c r="A39" t="s">
        <v>77</v>
      </c>
      <c r="B39" t="s">
        <v>9</v>
      </c>
      <c r="C39" s="42">
        <f>C13/C18</f>
        <v>144927.53623188406</v>
      </c>
    </row>
    <row r="40" spans="1:3" ht="14.25">
      <c r="A40" s="25" t="s">
        <v>78</v>
      </c>
      <c r="C40" s="26">
        <f>(C39*C38)/C19</f>
        <v>144927.53623188406</v>
      </c>
    </row>
    <row r="42" spans="1:3" ht="14.25">
      <c r="A42" t="s">
        <v>55</v>
      </c>
      <c r="B42" t="s">
        <v>40</v>
      </c>
      <c r="C42" s="59">
        <v>0.25</v>
      </c>
    </row>
    <row r="43" spans="1:3" ht="14.25">
      <c r="A43" s="25" t="s">
        <v>79</v>
      </c>
      <c r="B43" s="25"/>
      <c r="C43" s="26">
        <f>ROUND(C42*(C36+C33+C30+C26),0)</f>
        <v>175121</v>
      </c>
    </row>
    <row r="44" spans="1:3" ht="14.25">
      <c r="A44" s="25"/>
      <c r="B44" s="25"/>
      <c r="C44" s="26"/>
    </row>
    <row r="45" spans="1:3" ht="14.25">
      <c r="A45" s="25" t="s">
        <v>80</v>
      </c>
      <c r="B45" s="25"/>
      <c r="C45" s="27">
        <v>50</v>
      </c>
    </row>
    <row r="47" spans="1:3" ht="14.25">
      <c r="A47" s="25" t="s">
        <v>81</v>
      </c>
      <c r="B47" s="25"/>
      <c r="C47" s="66">
        <f>'Management Flow Chart'!C28*('Introduction and Summary'!C13/'Management Flow Chart'!C7)</f>
        <v>560000</v>
      </c>
    </row>
    <row r="49" spans="1:3" ht="14.25">
      <c r="A49" s="53" t="s">
        <v>82</v>
      </c>
      <c r="B49" s="53"/>
      <c r="C49" s="54">
        <f>C47+C43+C40+C36+C33+C30+C26</f>
        <v>1580531.84057971</v>
      </c>
    </row>
  </sheetData>
  <sheetProtection selectLockedCells="1" selectUnlockedCells="1"/>
  <printOptions/>
  <pageMargins left="0.7" right="0.7" top="0.75" bottom="0.75" header="0.5118055555555555" footer="0.5118055555555555"/>
  <pageSetup horizontalDpi="300" verticalDpi="300" orientation="portrait" paperSize="9" scale="78" r:id="rId2"/>
  <drawing r:id="rId1"/>
</worksheet>
</file>

<file path=xl/worksheets/sheet6.xml><?xml version="1.0" encoding="utf-8"?>
<worksheet xmlns="http://schemas.openxmlformats.org/spreadsheetml/2006/main" xmlns:r="http://schemas.openxmlformats.org/officeDocument/2006/relationships">
  <dimension ref="A1:E29"/>
  <sheetViews>
    <sheetView zoomScaleSheetLayoutView="235" zoomScalePageLayoutView="0" workbookViewId="0" topLeftCell="A1">
      <selection activeCell="A9" sqref="A9"/>
    </sheetView>
  </sheetViews>
  <sheetFormatPr defaultColWidth="9.140625" defaultRowHeight="15"/>
  <cols>
    <col min="1" max="1" width="53.140625" style="0" customWidth="1"/>
    <col min="2" max="2" width="17.57421875" style="0" customWidth="1"/>
    <col min="3" max="3" width="13.421875" style="0" customWidth="1"/>
    <col min="4" max="4" width="4.57421875" style="0" customWidth="1"/>
  </cols>
  <sheetData>
    <row r="1" spans="1:5" s="14" customFormat="1" ht="27" customHeight="1">
      <c r="A1" s="13" t="s">
        <v>4</v>
      </c>
      <c r="B1" s="13"/>
      <c r="C1" s="13"/>
      <c r="D1" s="18"/>
      <c r="E1" s="18"/>
    </row>
    <row r="2" spans="1:5" s="14" customFormat="1" ht="14.25">
      <c r="A2" s="13" t="s">
        <v>5</v>
      </c>
      <c r="B2" s="13"/>
      <c r="C2" s="13"/>
      <c r="D2" s="18"/>
      <c r="E2" s="18"/>
    </row>
    <row r="4" spans="1:3" ht="30" customHeight="1">
      <c r="A4" s="124" t="s">
        <v>83</v>
      </c>
      <c r="B4" s="124"/>
      <c r="C4" s="124"/>
    </row>
    <row r="6" spans="1:3" ht="14.25">
      <c r="A6" s="22" t="s">
        <v>28</v>
      </c>
      <c r="B6" s="23" t="s">
        <v>29</v>
      </c>
      <c r="C6" s="24" t="s">
        <v>30</v>
      </c>
    </row>
    <row r="8" spans="1:3" ht="14.25">
      <c r="A8" t="s">
        <v>142</v>
      </c>
      <c r="B8" t="s">
        <v>61</v>
      </c>
      <c r="C8" s="27">
        <v>52</v>
      </c>
    </row>
    <row r="10" spans="1:3" ht="14.25">
      <c r="A10" t="s">
        <v>84</v>
      </c>
      <c r="B10" t="s">
        <v>85</v>
      </c>
      <c r="C10" s="27">
        <v>400</v>
      </c>
    </row>
    <row r="11" spans="1:3" ht="14.25">
      <c r="A11" t="s">
        <v>86</v>
      </c>
      <c r="B11" t="s">
        <v>85</v>
      </c>
      <c r="C11" s="27">
        <v>200</v>
      </c>
    </row>
    <row r="13" spans="1:3" ht="14.25">
      <c r="A13" t="s">
        <v>87</v>
      </c>
      <c r="B13" s="44">
        <v>0.5</v>
      </c>
      <c r="C13" s="35">
        <f>C8*B13</f>
        <v>26</v>
      </c>
    </row>
    <row r="16" spans="1:3" ht="14.25">
      <c r="A16" t="s">
        <v>88</v>
      </c>
      <c r="C16" s="42">
        <f>Employment!C16</f>
        <v>144927536.23188406</v>
      </c>
    </row>
    <row r="17" spans="1:3" ht="14.25">
      <c r="A17" t="s">
        <v>89</v>
      </c>
      <c r="B17" s="31">
        <v>0.1</v>
      </c>
      <c r="C17" s="42">
        <f>C16*B17</f>
        <v>14492753.623188406</v>
      </c>
    </row>
    <row r="18" spans="1:3" ht="14.25">
      <c r="A18" t="s">
        <v>90</v>
      </c>
      <c r="C18" s="42">
        <f>C16+C17</f>
        <v>159420289.85507247</v>
      </c>
    </row>
    <row r="20" spans="1:3" ht="14.25">
      <c r="A20" t="s">
        <v>91</v>
      </c>
      <c r="B20" t="s">
        <v>24</v>
      </c>
      <c r="C20" s="42">
        <f>C18/C10</f>
        <v>398550.72463768115</v>
      </c>
    </row>
    <row r="21" spans="1:3" ht="14.25">
      <c r="A21" t="s">
        <v>92</v>
      </c>
      <c r="B21" t="s">
        <v>24</v>
      </c>
      <c r="C21" s="45">
        <f>C20*C13</f>
        <v>10362318.84057971</v>
      </c>
    </row>
    <row r="23" spans="1:3" ht="14.25">
      <c r="A23" t="s">
        <v>93</v>
      </c>
      <c r="B23" t="s">
        <v>24</v>
      </c>
      <c r="C23" s="42">
        <f>C18/C11</f>
        <v>797101.4492753623</v>
      </c>
    </row>
    <row r="24" spans="1:3" ht="14.25">
      <c r="A24" t="s">
        <v>94</v>
      </c>
      <c r="B24" t="s">
        <v>24</v>
      </c>
      <c r="C24" s="45">
        <f>(C8-C13)*C23</f>
        <v>20724637.68115942</v>
      </c>
    </row>
    <row r="26" spans="1:3" ht="14.25">
      <c r="A26" t="s">
        <v>95</v>
      </c>
      <c r="B26" t="s">
        <v>24</v>
      </c>
      <c r="C26" s="42">
        <f>C24+C21</f>
        <v>31086956.521739133</v>
      </c>
    </row>
    <row r="27" spans="1:3" ht="14.25">
      <c r="A27" t="s">
        <v>96</v>
      </c>
      <c r="B27" s="31">
        <v>0.15</v>
      </c>
      <c r="C27" s="42">
        <f>C26*B27</f>
        <v>4663043.47826087</v>
      </c>
    </row>
    <row r="28" spans="2:3" ht="14.25">
      <c r="B28" s="67"/>
      <c r="C28" s="42"/>
    </row>
    <row r="29" spans="1:5" ht="14.25">
      <c r="A29" s="53" t="s">
        <v>97</v>
      </c>
      <c r="B29" s="55" t="s">
        <v>24</v>
      </c>
      <c r="C29" s="56">
        <f>SUM(C26:C27)</f>
        <v>35750000</v>
      </c>
      <c r="E29" s="39" t="s">
        <v>98</v>
      </c>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28"/>
  <sheetViews>
    <sheetView zoomScaleSheetLayoutView="145" zoomScalePageLayoutView="0" workbookViewId="0" topLeftCell="A1">
      <selection activeCell="A1" sqref="A1"/>
    </sheetView>
  </sheetViews>
  <sheetFormatPr defaultColWidth="9.140625" defaultRowHeight="15"/>
  <cols>
    <col min="1" max="1" width="16.421875" style="0" customWidth="1"/>
    <col min="2" max="2" width="66.421875" style="0" customWidth="1"/>
    <col min="5" max="5" width="10.00390625" style="0" customWidth="1"/>
    <col min="8" max="8" width="10.421875" style="0" customWidth="1"/>
  </cols>
  <sheetData>
    <row r="1" spans="1:7" ht="27" customHeight="1">
      <c r="A1" s="46" t="s">
        <v>99</v>
      </c>
      <c r="B1" s="46"/>
      <c r="C1" s="46"/>
      <c r="D1" s="46"/>
      <c r="E1" s="46"/>
      <c r="F1" s="46"/>
      <c r="G1" s="46"/>
    </row>
    <row r="2" spans="1:7" ht="14.25" customHeight="1">
      <c r="A2" s="13"/>
      <c r="B2" s="13"/>
      <c r="C2" s="13"/>
      <c r="D2" s="13"/>
      <c r="E2" s="13"/>
      <c r="F2" s="13"/>
      <c r="G2" s="13"/>
    </row>
    <row r="4" ht="14.25">
      <c r="B4" t="s">
        <v>129</v>
      </c>
    </row>
    <row r="5" spans="2:3" ht="14.25">
      <c r="B5" t="s">
        <v>27</v>
      </c>
      <c r="C5" s="21"/>
    </row>
    <row r="6" ht="15" thickBot="1"/>
    <row r="7" spans="2:4" ht="15" thickBot="1">
      <c r="B7" t="s">
        <v>157</v>
      </c>
      <c r="C7" s="73">
        <v>100000</v>
      </c>
      <c r="D7" s="20"/>
    </row>
    <row r="8" ht="14.25">
      <c r="B8" s="72"/>
    </row>
    <row r="9" spans="2:8" ht="14.25">
      <c r="B9" s="22" t="s">
        <v>100</v>
      </c>
      <c r="C9" s="22" t="s">
        <v>101</v>
      </c>
      <c r="D9" s="22" t="s">
        <v>102</v>
      </c>
      <c r="E9" s="22" t="s">
        <v>152</v>
      </c>
      <c r="F9" s="22" t="s">
        <v>101</v>
      </c>
      <c r="G9" s="22" t="s">
        <v>103</v>
      </c>
      <c r="H9" s="22" t="s">
        <v>152</v>
      </c>
    </row>
    <row r="10" spans="2:8" ht="14.25">
      <c r="B10" t="s">
        <v>104</v>
      </c>
      <c r="C10" s="70">
        <v>1</v>
      </c>
      <c r="D10" s="47">
        <v>120000</v>
      </c>
      <c r="E10" s="60">
        <f>C10*D10</f>
        <v>120000</v>
      </c>
      <c r="F10" s="70">
        <v>1</v>
      </c>
      <c r="G10" s="47">
        <v>26000</v>
      </c>
      <c r="H10" s="60">
        <f>F10*G10</f>
        <v>26000</v>
      </c>
    </row>
    <row r="11" spans="2:8" ht="14.25">
      <c r="B11" t="s">
        <v>105</v>
      </c>
      <c r="C11" s="70">
        <v>1</v>
      </c>
      <c r="D11" s="47">
        <v>120000</v>
      </c>
      <c r="E11" s="60">
        <f aca="true" t="shared" si="0" ref="E11:E25">C11*D11</f>
        <v>120000</v>
      </c>
      <c r="F11" s="70">
        <v>1</v>
      </c>
      <c r="G11" s="47">
        <v>26000</v>
      </c>
      <c r="H11" s="60">
        <f aca="true" t="shared" si="1" ref="H11:H25">F11*G11</f>
        <v>26000</v>
      </c>
    </row>
    <row r="12" spans="2:8" ht="14.25">
      <c r="B12" t="s">
        <v>106</v>
      </c>
      <c r="C12" s="70">
        <v>0</v>
      </c>
      <c r="D12" s="47">
        <v>52000</v>
      </c>
      <c r="E12" s="60">
        <f t="shared" si="0"/>
        <v>0</v>
      </c>
      <c r="F12" s="70">
        <v>0</v>
      </c>
      <c r="G12" s="47">
        <v>26000</v>
      </c>
      <c r="H12" s="60">
        <f t="shared" si="1"/>
        <v>0</v>
      </c>
    </row>
    <row r="13" spans="2:8" ht="14.25">
      <c r="B13" t="s">
        <v>107</v>
      </c>
      <c r="C13" s="70">
        <v>1</v>
      </c>
      <c r="D13" s="47">
        <v>52000</v>
      </c>
      <c r="E13" s="60">
        <f t="shared" si="0"/>
        <v>52000</v>
      </c>
      <c r="F13" s="70">
        <v>1</v>
      </c>
      <c r="G13" s="47">
        <v>26000</v>
      </c>
      <c r="H13" s="60">
        <f t="shared" si="1"/>
        <v>26000</v>
      </c>
    </row>
    <row r="14" spans="2:8" ht="14.25">
      <c r="B14" t="s">
        <v>108</v>
      </c>
      <c r="C14" s="70">
        <v>1</v>
      </c>
      <c r="D14" s="47">
        <v>26000</v>
      </c>
      <c r="E14" s="60">
        <f t="shared" si="0"/>
        <v>26000</v>
      </c>
      <c r="F14" s="70">
        <v>1</v>
      </c>
      <c r="G14" s="47">
        <v>26000</v>
      </c>
      <c r="H14" s="60">
        <f t="shared" si="1"/>
        <v>26000</v>
      </c>
    </row>
    <row r="15" spans="2:8" ht="14.25">
      <c r="B15" t="s">
        <v>109</v>
      </c>
      <c r="C15" s="70">
        <v>1</v>
      </c>
      <c r="D15" s="47">
        <v>26000</v>
      </c>
      <c r="E15" s="60">
        <f t="shared" si="0"/>
        <v>26000</v>
      </c>
      <c r="F15" s="70">
        <v>1</v>
      </c>
      <c r="G15" s="47">
        <v>26000</v>
      </c>
      <c r="H15" s="60">
        <f t="shared" si="1"/>
        <v>26000</v>
      </c>
    </row>
    <row r="16" spans="2:8" ht="14.25">
      <c r="B16" t="s">
        <v>110</v>
      </c>
      <c r="C16" s="70">
        <v>1</v>
      </c>
      <c r="D16" s="47">
        <v>26000</v>
      </c>
      <c r="E16" s="60">
        <f t="shared" si="0"/>
        <v>26000</v>
      </c>
      <c r="F16" s="70">
        <v>0</v>
      </c>
      <c r="G16" s="47">
        <v>26000</v>
      </c>
      <c r="H16" s="60">
        <f t="shared" si="1"/>
        <v>0</v>
      </c>
    </row>
    <row r="17" spans="2:8" ht="14.25">
      <c r="B17" t="s">
        <v>111</v>
      </c>
      <c r="C17" s="70">
        <v>0</v>
      </c>
      <c r="D17" s="47">
        <v>52000</v>
      </c>
      <c r="E17" s="60">
        <f t="shared" si="0"/>
        <v>0</v>
      </c>
      <c r="F17" s="70">
        <v>1</v>
      </c>
      <c r="G17" s="47">
        <v>26000</v>
      </c>
      <c r="H17" s="60">
        <f t="shared" si="1"/>
        <v>26000</v>
      </c>
    </row>
    <row r="18" spans="2:8" ht="14.25">
      <c r="B18" t="s">
        <v>112</v>
      </c>
      <c r="C18" s="70">
        <v>1</v>
      </c>
      <c r="D18" s="47">
        <v>52000</v>
      </c>
      <c r="E18" s="60">
        <f t="shared" si="0"/>
        <v>52000</v>
      </c>
      <c r="F18" s="70">
        <v>1</v>
      </c>
      <c r="G18" s="47">
        <v>26000</v>
      </c>
      <c r="H18" s="60">
        <f t="shared" si="1"/>
        <v>26000</v>
      </c>
    </row>
    <row r="19" spans="2:8" ht="14.25">
      <c r="B19" t="s">
        <v>113</v>
      </c>
      <c r="C19" s="70">
        <v>1</v>
      </c>
      <c r="D19" s="47">
        <v>52000</v>
      </c>
      <c r="E19" s="60">
        <f t="shared" si="0"/>
        <v>52000</v>
      </c>
      <c r="F19" s="70">
        <v>1</v>
      </c>
      <c r="G19" s="47">
        <v>26000</v>
      </c>
      <c r="H19" s="60">
        <f t="shared" si="1"/>
        <v>26000</v>
      </c>
    </row>
    <row r="20" spans="2:8" ht="14.25">
      <c r="B20" t="s">
        <v>114</v>
      </c>
      <c r="C20" s="70">
        <v>1</v>
      </c>
      <c r="D20" s="47">
        <v>52000</v>
      </c>
      <c r="E20" s="60">
        <f t="shared" si="0"/>
        <v>52000</v>
      </c>
      <c r="F20" s="70">
        <v>1</v>
      </c>
      <c r="G20" s="47">
        <v>26000</v>
      </c>
      <c r="H20" s="60">
        <f t="shared" si="1"/>
        <v>26000</v>
      </c>
    </row>
    <row r="21" spans="2:8" ht="14.25">
      <c r="B21" t="s">
        <v>115</v>
      </c>
      <c r="C21" s="70">
        <v>1</v>
      </c>
      <c r="D21" s="47">
        <v>52000</v>
      </c>
      <c r="E21" s="60">
        <f t="shared" si="0"/>
        <v>52000</v>
      </c>
      <c r="F21" s="70">
        <v>1</v>
      </c>
      <c r="G21" s="47">
        <v>26000</v>
      </c>
      <c r="H21" s="60">
        <f t="shared" si="1"/>
        <v>26000</v>
      </c>
    </row>
    <row r="22" spans="2:8" ht="14.25">
      <c r="B22" t="s">
        <v>116</v>
      </c>
      <c r="C22" s="70">
        <v>1</v>
      </c>
      <c r="D22" s="47">
        <v>52000</v>
      </c>
      <c r="E22" s="60">
        <f t="shared" si="0"/>
        <v>52000</v>
      </c>
      <c r="F22" s="70">
        <v>1</v>
      </c>
      <c r="G22" s="47">
        <v>26000</v>
      </c>
      <c r="H22" s="60">
        <f t="shared" si="1"/>
        <v>26000</v>
      </c>
    </row>
    <row r="23" spans="2:8" ht="14.25">
      <c r="B23" t="s">
        <v>117</v>
      </c>
      <c r="C23" s="70">
        <v>1</v>
      </c>
      <c r="D23" s="68">
        <v>52000</v>
      </c>
      <c r="E23" s="60">
        <f t="shared" si="0"/>
        <v>52000</v>
      </c>
      <c r="F23" s="70">
        <v>0</v>
      </c>
      <c r="G23" s="47">
        <v>26000</v>
      </c>
      <c r="H23" s="60">
        <f t="shared" si="1"/>
        <v>0</v>
      </c>
    </row>
    <row r="24" spans="2:8" ht="14.25">
      <c r="B24" t="s">
        <v>118</v>
      </c>
      <c r="C24" s="70">
        <v>0</v>
      </c>
      <c r="D24" s="69">
        <v>52000</v>
      </c>
      <c r="E24" s="60">
        <f t="shared" si="0"/>
        <v>0</v>
      </c>
      <c r="F24" s="70">
        <v>0</v>
      </c>
      <c r="G24" s="47">
        <v>26000</v>
      </c>
      <c r="H24" s="60">
        <f t="shared" si="1"/>
        <v>0</v>
      </c>
    </row>
    <row r="25" spans="2:8" ht="14.25">
      <c r="B25" t="s">
        <v>119</v>
      </c>
      <c r="C25" s="70">
        <v>3</v>
      </c>
      <c r="D25" s="69">
        <v>26000</v>
      </c>
      <c r="E25" s="60">
        <f t="shared" si="0"/>
        <v>78000</v>
      </c>
      <c r="F25" s="70">
        <v>2</v>
      </c>
      <c r="G25" s="47">
        <v>26000</v>
      </c>
      <c r="H25" s="60">
        <f t="shared" si="1"/>
        <v>52000</v>
      </c>
    </row>
    <row r="26" spans="2:8" ht="14.25">
      <c r="B26" t="s">
        <v>120</v>
      </c>
      <c r="C26" s="20">
        <f>SUM(C10:C25)</f>
        <v>15</v>
      </c>
      <c r="D26" s="20"/>
      <c r="E26" s="19">
        <f>SUM(E10:E25)</f>
        <v>760000</v>
      </c>
      <c r="F26" s="60">
        <f>SUM(F10:F25)</f>
        <v>13</v>
      </c>
      <c r="G26" s="20"/>
      <c r="H26" s="19">
        <f>SUM(H10:H25)</f>
        <v>338000</v>
      </c>
    </row>
    <row r="27" spans="2:8" ht="14.25">
      <c r="B27" t="s">
        <v>55</v>
      </c>
      <c r="C27" s="31">
        <v>0.15</v>
      </c>
      <c r="D27" s="20"/>
      <c r="E27" s="19">
        <f>E26*C27</f>
        <v>114000</v>
      </c>
      <c r="F27" s="31">
        <v>0.15</v>
      </c>
      <c r="G27" s="20"/>
      <c r="H27" s="19">
        <f>H26*F27</f>
        <v>50700</v>
      </c>
    </row>
    <row r="28" spans="2:9" ht="14.25">
      <c r="B28" s="53" t="s">
        <v>121</v>
      </c>
      <c r="C28" s="57">
        <f>C26+F26</f>
        <v>28</v>
      </c>
      <c r="D28" s="55"/>
      <c r="E28" s="58">
        <f>SUM(E26:E27)</f>
        <v>874000</v>
      </c>
      <c r="F28" s="58"/>
      <c r="G28" s="55"/>
      <c r="H28" s="58">
        <f>SUM(H26:H27)</f>
        <v>388700</v>
      </c>
      <c r="I28" s="42"/>
    </row>
  </sheetData>
  <sheetProtection selectLockedCells="1" selectUnlockedCells="1"/>
  <printOptions/>
  <pageMargins left="0.7" right="0.7" top="0.75" bottom="0.75" header="0.5118055555555555" footer="0.5118055555555555"/>
  <pageSetup fitToHeight="1" fitToWidth="1" horizontalDpi="300" verticalDpi="3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PieterHoff</dc:creator>
  <cp:keywords/>
  <dc:description/>
  <cp:lastModifiedBy>phoff</cp:lastModifiedBy>
  <dcterms:created xsi:type="dcterms:W3CDTF">2013-05-26T04:57:58Z</dcterms:created>
  <dcterms:modified xsi:type="dcterms:W3CDTF">2016-09-25T14:57:37Z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