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tabRatio="1000" activeTab="0"/>
  </bookViews>
  <sheets>
    <sheet name="Primeira página" sheetId="1" r:id="rId1"/>
    <sheet name="Introdução e Resumo" sheetId="2" r:id="rId2"/>
    <sheet name="Custos de Plantio e Informações" sheetId="3" r:id="rId3"/>
    <sheet name="Emprego" sheetId="4" r:id="rId4"/>
    <sheet name="Viveiro" sheetId="5" r:id="rId5"/>
    <sheet name="Fluxograma de Gestão" sheetId="6" r:id="rId6"/>
    <sheet name="Blad1" sheetId="7" state="hidden" r:id="rId7"/>
  </sheets>
  <definedNames>
    <definedName name="_xlnm.Print_Area" localSheetId="2">'Custos de Plantio e Informações'!$A$1:$E$56</definedName>
    <definedName name="_xlnm.Print_Area" localSheetId="3">'Emprego'!$A$1:$E$52</definedName>
    <definedName name="_xlnm.Print_Area" localSheetId="0">'Primeira página'!$A$1:$A$29</definedName>
  </definedNames>
  <calcPr fullCalcOnLoad="1"/>
</workbook>
</file>

<file path=xl/comments2.xml><?xml version="1.0" encoding="utf-8"?>
<comments xmlns="http://schemas.openxmlformats.org/spreadsheetml/2006/main">
  <authors>
    <author>PieterHoff</author>
  </authors>
  <commentList>
    <comment ref="B21" authorId="0">
      <text>
        <r>
          <rPr>
            <b/>
            <sz val="9"/>
            <rFont val="Tahoma"/>
            <family val="2"/>
          </rPr>
          <t xml:space="preserve">Scientific sources: THE UNIVERSITY OF STUTTGART CLAIMS THAT JATROPHA DISCONNECTS 25 TONNES OF CO2 PER HECTARE
https://www.uni-hohenheim.de/news/studie-carbon-farming-
biomasse-plantagen-in-wuestenregionen-koennten-klimawandel-
mildern-8
THE UNIVERSITY OF BOULDER COLORADO CLAIMS THAT TREES DISCONNECT NOW 100% MORE CARBON THAN 50 YEARS AGO THIS IS LOGIC, SHELL IS SELLING CO2 TO GROWERS IN HOLLAND AS A FERTILIZER
http://www.colorado.edu/news/releases/2012/08/01/earth-still-
absorbing-co2-even-emissions-rise-says-new-cu-led-study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 xml:space="preserve">This is based on a tractor of 60K plus machine of 40K making 1 hole a time, plus energy, using it 6 years. If it is a 3-drill, price will drop to 6 cents excl. wages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This is based on a tractor with one drill, with 3 drills the price would drop to 10 cents
</t>
        </r>
      </text>
    </comment>
  </commentList>
</comments>
</file>

<file path=xl/sharedStrings.xml><?xml version="1.0" encoding="utf-8"?>
<sst xmlns="http://schemas.openxmlformats.org/spreadsheetml/2006/main" count="231" uniqueCount="228">
  <si>
    <r>
      <rPr>
        <b/>
        <i/>
        <sz val="24"/>
        <color indexed="9"/>
        <rFont val="Calibri"/>
        <family val="2"/>
      </rPr>
      <t>Groasis Technology</t>
    </r>
  </si>
  <si>
    <r>
      <rPr>
        <sz val="24"/>
        <rFont val="Calibri"/>
        <family val="2"/>
      </rPr>
      <t>utilizando o</t>
    </r>
  </si>
  <si>
    <r>
      <rPr>
        <sz val="9"/>
        <rFont val="Arial"/>
        <family val="2"/>
      </rPr>
      <t>Este documento é um modelo com pressupostos gerais.</t>
    </r>
  </si>
  <si>
    <r>
      <rPr>
        <sz val="9"/>
        <rFont val="Arial"/>
        <family val="2"/>
      </rPr>
      <t>Por favor, ajuste os pressupostos para que os valores apresentados estejam de acordo com seu projeto específico</t>
    </r>
  </si>
  <si>
    <r>
      <rPr>
        <sz val="12"/>
        <color indexed="9"/>
        <rFont val="Calibri"/>
        <family val="2"/>
      </rPr>
      <t>Pieter Hoff</t>
    </r>
  </si>
  <si>
    <r>
      <rPr>
        <u val="single"/>
        <sz val="10"/>
        <color indexed="12"/>
        <rFont val="Arial"/>
        <family val="2"/>
      </rPr>
      <t>phoff@groasis.com</t>
    </r>
  </si>
  <si>
    <r>
      <rPr>
        <sz val="10"/>
        <color indexed="9"/>
        <rFont val="Calibri"/>
        <family val="2"/>
      </rPr>
      <t>© Wout Hoff - este modelo é propriedade intelectual da– Groasis - Holanda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</si>
  <si>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</si>
  <si>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</si>
  <si>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b/>
        <u val="single"/>
        <sz val="11"/>
        <color indexed="8"/>
        <rFont val="Calibri"/>
        <family val="2"/>
      </rPr>
      <t>Apresentação do Projeto:</t>
    </r>
  </si>
  <si>
    <r>
      <rPr>
        <b/>
        <u val="single"/>
        <sz val="11"/>
        <color indexed="8"/>
        <rFont val="Calibri"/>
        <family val="2"/>
      </rPr>
      <t>Resumo do Projeto:</t>
    </r>
  </si>
  <si>
    <r>
      <rPr>
        <sz val="11"/>
        <color indexed="8"/>
        <rFont val="Calibri"/>
        <family val="2"/>
      </rPr>
      <t>POR FAVOR, INDIQUE O TAMANHO DE SEU PROJETO</t>
    </r>
  </si>
  <si>
    <r>
      <rPr>
        <sz val="11"/>
        <color indexed="8"/>
        <rFont val="Calibri"/>
        <family val="2"/>
      </rPr>
      <t>ha</t>
    </r>
  </si>
  <si>
    <r>
      <rPr>
        <i/>
        <sz val="11"/>
        <color indexed="8"/>
        <rFont val="Calibri"/>
        <family val="2"/>
      </rPr>
      <t>Nota: Altere o número de hectares de acordo com suas necessidades, e os cálculos irão mudarão de acordo</t>
    </r>
  </si>
  <si>
    <r>
      <rPr>
        <sz val="11"/>
        <color indexed="8"/>
        <rFont val="Calibri"/>
        <family val="2"/>
      </rPr>
      <t>POR FAVOR, INDIQUE A DURAÇÃO DE SEU PROJETO</t>
    </r>
  </si>
  <si>
    <r>
      <rPr>
        <sz val="11"/>
        <color indexed="8"/>
        <rFont val="Calibri"/>
        <family val="2"/>
      </rPr>
      <t>anos</t>
    </r>
  </si>
  <si>
    <r>
      <rPr>
        <i/>
        <sz val="11"/>
        <color indexed="8"/>
        <rFont val="Calibri"/>
        <family val="2"/>
      </rPr>
      <t>Nota: Altere o número de anos que quer plantar de acordo com suas necessidades, e os cálculos mudarão de acordo</t>
    </r>
  </si>
  <si>
    <r>
      <rPr>
        <sz val="11"/>
        <color indexed="8"/>
        <rFont val="Calibri"/>
        <family val="2"/>
      </rPr>
      <t>POR FAVOR, INDIQUE O SALÁRIO BRUTO DE AGRICULTOR POR HORA</t>
    </r>
  </si>
  <si>
    <r>
      <rPr>
        <sz val="11"/>
        <color indexed="8"/>
        <rFont val="Calibri"/>
        <family val="2"/>
      </rPr>
      <t>US$</t>
    </r>
  </si>
  <si>
    <r>
      <rPr>
        <i/>
        <sz val="11"/>
        <color indexed="8"/>
        <rFont val="Calibri"/>
        <family val="2"/>
      </rPr>
      <t>Nota: Altere o salário por hora de acordo com sua situação prática, e os cálculos mudarão de acordo</t>
    </r>
  </si>
  <si>
    <r>
      <rPr>
        <i/>
        <sz val="11"/>
        <color indexed="8"/>
        <rFont val="Calibri"/>
        <family val="2"/>
      </rPr>
      <t>Nota: Você planta duas árvores por caixa, então se você quiser 600 árvores por hectare, você precisa somente de 300 caixas</t>
    </r>
  </si>
  <si>
    <r>
      <rPr>
        <sz val="11"/>
        <color indexed="8"/>
        <rFont val="Calibri"/>
        <family val="2"/>
      </rPr>
      <t>POR FAVOR, INDIQUE QUANTAS SEMANAS POR ANO VOCÊ PLANTA</t>
    </r>
  </si>
  <si>
    <r>
      <rPr>
        <i/>
        <sz val="11"/>
        <color indexed="8"/>
        <rFont val="Calibri"/>
        <family val="2"/>
      </rPr>
      <t>Nota: Reduza 52 semanas do ano pelo número de semanas que não planta (férias, por exemplo, períodos religiosos, etc) e indique o número de semanas restantes</t>
    </r>
  </si>
  <si>
    <r>
      <rPr>
        <sz val="11"/>
        <color indexed="8"/>
        <rFont val="Calibri"/>
        <family val="2"/>
      </rPr>
      <t>Velocidade de projeto de plantio em hectares por semana</t>
    </r>
  </si>
  <si>
    <r>
      <rPr>
        <sz val="11"/>
        <color indexed="8"/>
        <rFont val="Calibri"/>
        <family val="2"/>
      </rPr>
      <t>ha/semana</t>
    </r>
  </si>
  <si>
    <r>
      <rPr>
        <sz val="11"/>
        <color indexed="8"/>
        <rFont val="Calibri"/>
        <family val="2"/>
      </rPr>
      <t>Investimento anual</t>
    </r>
  </si>
  <si>
    <r>
      <rPr>
        <sz val="11"/>
        <color indexed="8"/>
        <rFont val="Calibri"/>
        <family val="2"/>
      </rPr>
      <t>mUS$</t>
    </r>
  </si>
  <si>
    <r>
      <rPr>
        <sz val="11"/>
        <color indexed="8"/>
        <rFont val="Calibri"/>
        <family val="2"/>
      </rPr>
      <t>Investimento por hectare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</si>
  <si>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</si>
  <si>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Emprego total gerado</t>
    </r>
  </si>
  <si>
    <r>
      <rPr>
        <sz val="11"/>
        <color indexed="8"/>
        <rFont val="Calibri"/>
        <family val="2"/>
      </rPr>
      <t>pessoal/ano</t>
    </r>
  </si>
  <si>
    <r>
      <rPr>
        <sz val="11"/>
        <color indexed="8"/>
        <rFont val="Calibri"/>
        <family val="2"/>
      </rPr>
      <t>Tamanho do viveiro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</si>
  <si>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</si>
  <si>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Número de árvores vivas na conclusão do projeto</t>
    </r>
  </si>
  <si>
    <r>
      <rPr>
        <sz val="11"/>
        <color indexed="8"/>
        <rFont val="Calibri"/>
        <family val="2"/>
      </rPr>
      <t>Investimento do plantio do projeto</t>
    </r>
  </si>
  <si>
    <r>
      <rPr>
        <sz val="11"/>
        <color indexed="8"/>
        <rFont val="Calibri"/>
        <family val="2"/>
      </rPr>
      <t>mUS$</t>
    </r>
  </si>
  <si>
    <r>
      <rPr>
        <sz val="11"/>
        <color indexed="8"/>
        <rFont val="Calibri"/>
        <family val="2"/>
      </rPr>
      <t>Por favor, somente altere os valores nas células a amarelo claro: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</si>
  <si>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</si>
  <si>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</si>
  <si>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</si>
  <si>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</si>
  <si>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Tamanho do projeto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</si>
  <si>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</si>
  <si>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Duração do plantio</t>
    </r>
  </si>
  <si>
    <r>
      <rPr>
        <sz val="11"/>
        <color indexed="8"/>
        <rFont val="Calibri"/>
        <family val="2"/>
      </rPr>
      <t>anos</t>
    </r>
  </si>
  <si>
    <r>
      <rPr>
        <sz val="11"/>
        <color indexed="8"/>
        <rFont val="Calibri"/>
        <family val="2"/>
      </rPr>
      <t>Custos de limpeza por ha (ervas daninhas/espécies invasoras)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</si>
  <si>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</si>
  <si>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Total de custos de limpeza por ha</t>
    </r>
  </si>
  <si>
    <r>
      <rPr>
        <u val="single"/>
        <sz val="11"/>
        <color indexed="8"/>
        <rFont val="Calibri"/>
        <family val="2"/>
      </rPr>
      <t>US$</t>
    </r>
  </si>
  <si>
    <r>
      <rPr>
        <i/>
        <sz val="11"/>
        <color indexed="8"/>
        <rFont val="Calibri"/>
        <family val="2"/>
      </rPr>
      <t>Selecione o valor da lista suspensa</t>
    </r>
  </si>
  <si>
    <r>
      <rPr>
        <sz val="11"/>
        <color indexed="8"/>
        <rFont val="Calibri"/>
        <family val="2"/>
      </rPr>
      <t>Número de árvores plantadas por hectare</t>
    </r>
  </si>
  <si>
    <r>
      <rPr>
        <i/>
        <sz val="11"/>
        <color indexed="8"/>
        <rFont val="Calibri"/>
        <family val="2"/>
      </rPr>
      <t>Selecione o valor da lista suspensa - se plantar duas variedades, divida 50%-50%</t>
    </r>
  </si>
  <si>
    <r>
      <rPr>
        <sz val="11"/>
        <color indexed="8"/>
        <rFont val="Calibri"/>
        <family val="2"/>
      </rPr>
      <t>Preço da variedade 1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</si>
  <si>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</si>
  <si>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Preço da variedade 2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</si>
  <si>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</si>
  <si>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de árvores por ha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</si>
  <si>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</si>
  <si>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Expectativa de sobrevida</t>
    </r>
  </si>
  <si>
    <r>
      <rPr>
        <sz val="11"/>
        <color indexed="8"/>
        <rFont val="Calibri"/>
        <family val="2"/>
      </rPr>
      <t>%</t>
    </r>
  </si>
  <si>
    <r>
      <rPr>
        <sz val="11"/>
        <color indexed="8"/>
        <rFont val="Calibri"/>
        <family val="2"/>
      </rPr>
      <t>Número de árvores sobreviventes por ha</t>
    </r>
  </si>
  <si>
    <r>
      <rPr>
        <sz val="11"/>
        <color indexed="8"/>
        <rFont val="Calibri"/>
        <family val="2"/>
      </rPr>
      <t>Número de m2 por árvore sobrevivente</t>
    </r>
  </si>
  <si>
    <r>
      <rPr>
        <sz val="11"/>
        <color indexed="8"/>
        <rFont val="Calibri"/>
        <family val="2"/>
      </rPr>
      <t>m2</t>
    </r>
  </si>
  <si>
    <r>
      <rPr>
        <sz val="11"/>
        <rFont val="Calibri"/>
        <family val="2"/>
      </rPr>
      <t>US$</t>
    </r>
  </si>
  <si>
    <r>
      <rPr>
        <i/>
        <sz val="11"/>
        <rFont val="Calibri"/>
        <family val="2"/>
      </rPr>
      <t xml:space="preserve">Nota importante: adicione o preço de sua oferta. O preço indicado não é um preço de mercado, já que o preço depende do número </t>
    </r>
  </si>
  <si>
    <r>
      <rPr>
        <u val="single"/>
        <sz val="11"/>
        <rFont val="Calibri"/>
        <family val="2"/>
      </rPr>
      <t>US$</t>
    </r>
  </si>
  <si>
    <r>
      <rPr>
        <i/>
        <sz val="11"/>
        <rFont val="Calibri"/>
        <family val="2"/>
      </rPr>
      <t>compradas, custos aduaneiros, IVA, transporte e outros custos. Estes custos podem variar por país.</t>
    </r>
  </si>
  <si>
    <r>
      <rPr>
        <sz val="11"/>
        <color indexed="8"/>
        <rFont val="Calibri"/>
        <family val="2"/>
      </rPr>
      <t>Número de buracos de plantio perfurados por hectare</t>
    </r>
  </si>
  <si>
    <r>
      <rPr>
        <sz val="11"/>
        <color indexed="8"/>
        <rFont val="Calibri"/>
        <family val="2"/>
      </rPr>
      <t>Custo das máquinas de perfuração por buraco de plantio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</si>
  <si>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</si>
  <si>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Custos dos salários de perfuração por buraco de plantio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</si>
  <si>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</si>
  <si>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da perfuração dos buracos de plantio por hectare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</si>
  <si>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</si>
  <si>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</si>
  <si>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Alojamento, alimentação, transporte, cuidados médicos para o pessoal, etc, estimado por caixa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</si>
  <si>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</si>
  <si>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do plantio por hectare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</si>
  <si>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</si>
  <si>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Necessidade de água por caixa - antes de plantar</t>
    </r>
  </si>
  <si>
    <r>
      <rPr>
        <sz val="11"/>
        <color indexed="8"/>
        <rFont val="Calibri"/>
        <family val="2"/>
      </rPr>
      <t>litro</t>
    </r>
  </si>
  <si>
    <r>
      <rPr>
        <sz val="11"/>
        <color indexed="8"/>
        <rFont val="Calibri"/>
        <family val="2"/>
      </rPr>
      <t>Custo de água por litro incl. logística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</si>
  <si>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</si>
  <si>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da água por ha incl. logística</t>
    </r>
  </si>
  <si>
    <r>
      <rPr>
        <u val="single"/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</si>
  <si>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 xml:space="preserve">Concessão de água 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</si>
  <si>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</si>
  <si>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Custos de gerenciamento e organização por ha</t>
    </r>
  </si>
  <si>
    <r>
      <rPr>
        <sz val="11"/>
        <color indexed="8"/>
        <rFont val="Calibri"/>
        <family val="2"/>
      </rPr>
      <t>Imprevistos</t>
    </r>
  </si>
  <si>
    <r>
      <rPr>
        <sz val="11"/>
        <color indexed="8"/>
        <rFont val="Calibri"/>
        <family val="2"/>
      </rPr>
      <t>%</t>
    </r>
  </si>
  <si>
    <r>
      <rPr>
        <u val="single"/>
        <sz val="11"/>
        <color indexed="8"/>
        <rFont val="Calibri"/>
        <family val="2"/>
      </rPr>
      <t>Estimativa de custos imprevistos por ha</t>
    </r>
  </si>
  <si>
    <r>
      <rPr>
        <u val="single"/>
        <sz val="11"/>
        <color indexed="8"/>
        <rFont val="Calibri"/>
        <family val="2"/>
      </rPr>
      <t>US$</t>
    </r>
  </si>
  <si>
    <r>
      <rPr>
        <b/>
        <u val="single"/>
        <sz val="11"/>
        <color indexed="8"/>
        <rFont val="Calibri"/>
        <family val="2"/>
      </rPr>
      <t>Custo total estimado de plantio</t>
    </r>
  </si>
  <si>
    <r>
      <rPr>
        <b/>
        <u val="single"/>
        <sz val="11"/>
        <color indexed="8"/>
        <rFont val="Calibri"/>
        <family val="2"/>
      </rPr>
      <t>US$/ha</t>
    </r>
  </si>
  <si>
    <r>
      <rPr>
        <b/>
        <u val="single"/>
        <sz val="11"/>
        <color indexed="8"/>
        <rFont val="Calibri"/>
        <family val="2"/>
      </rPr>
      <t>US$/árvore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</si>
  <si>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</si>
  <si>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</si>
  <si>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1"/>
        <color indexed="8"/>
        <rFont val="Calibri"/>
        <family val="2"/>
      </rPr>
      <t>Esta página descreve como organizar este projeto e fornece uma visão geral do emprego gerado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</si>
  <si>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</si>
  <si>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</si>
  <si>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</si>
  <si>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Tamanho do projeto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</si>
  <si>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</si>
  <si>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Duração do plantio</t>
    </r>
  </si>
  <si>
    <r>
      <rPr>
        <sz val="11"/>
        <color indexed="8"/>
        <rFont val="Calibri"/>
        <family val="2"/>
      </rPr>
      <t>anos</t>
    </r>
  </si>
  <si>
    <r>
      <rPr>
        <sz val="11"/>
        <color indexed="8"/>
        <rFont val="Calibri"/>
        <family val="2"/>
      </rPr>
      <t>Área plantada por ano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</si>
  <si>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</si>
  <si>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Número de semanas de plantio</t>
    </r>
  </si>
  <si>
    <r>
      <rPr>
        <sz val="11"/>
        <color indexed="8"/>
        <rFont val="Calibri"/>
        <family val="2"/>
      </rPr>
      <t>semanas</t>
    </r>
  </si>
  <si>
    <r>
      <rPr>
        <sz val="11"/>
        <color indexed="8"/>
        <rFont val="Calibri"/>
        <family val="2"/>
      </rPr>
      <t>Área plantada por semana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</si>
  <si>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</si>
  <si>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Número de Groasis Waterboxxes por semana</t>
    </r>
  </si>
  <si>
    <r>
      <rPr>
        <sz val="11"/>
        <color indexed="8"/>
        <rFont val="Calibri"/>
        <family val="2"/>
      </rPr>
      <t>Número de árvores por semana</t>
    </r>
  </si>
  <si>
    <r>
      <rPr>
        <sz val="11"/>
        <color indexed="8"/>
        <rFont val="Calibri"/>
        <family val="2"/>
      </rPr>
      <t>Número de dias de trabalho por semana</t>
    </r>
  </si>
  <si>
    <r>
      <rPr>
        <sz val="11"/>
        <color indexed="8"/>
        <rFont val="Calibri"/>
        <family val="2"/>
      </rPr>
      <t>dias</t>
    </r>
  </si>
  <si>
    <r>
      <rPr>
        <sz val="11"/>
        <color indexed="8"/>
        <rFont val="Calibri"/>
        <family val="2"/>
      </rPr>
      <t>Duração de um turno de trabalho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</si>
  <si>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</si>
  <si>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Groasis Waterboxxes por dia de trabalho</t>
    </r>
  </si>
  <si>
    <r>
      <rPr>
        <sz val="11"/>
        <color indexed="8"/>
        <rFont val="Calibri"/>
        <family val="2"/>
      </rPr>
      <t>Número de horas por dia de furos de perfuração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</si>
  <si>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</si>
  <si>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furos perfurados por hora</t>
    </r>
  </si>
  <si>
    <r>
      <rPr>
        <sz val="11"/>
        <color indexed="8"/>
        <rFont val="Calibri"/>
        <family val="2"/>
      </rPr>
      <t>Número de furos perfurados por dia por broca</t>
    </r>
  </si>
  <si>
    <r>
      <rPr>
        <sz val="11"/>
        <color indexed="8"/>
        <rFont val="Calibri"/>
        <family val="2"/>
      </rPr>
      <t>Número de perfurações necessárias para os furos de plantio</t>
    </r>
  </si>
  <si>
    <r>
      <rPr>
        <u val="single"/>
        <sz val="11"/>
        <color indexed="8"/>
        <rFont val="Calibri"/>
        <family val="2"/>
      </rPr>
      <t>Número de motoristas de perfuração necessários</t>
    </r>
  </si>
  <si>
    <r>
      <rPr>
        <sz val="11"/>
        <color indexed="8"/>
        <rFont val="Calibri"/>
        <family val="2"/>
      </rPr>
      <t>Número de Groasis Waterboxxes montadas e plantadas por homem por hora</t>
    </r>
  </si>
  <si>
    <r>
      <rPr>
        <sz val="11"/>
        <color indexed="8"/>
        <rFont val="Calibri"/>
        <family val="2"/>
      </rPr>
      <t>Número de Groasis Waterboxxes plantadas por turno de trabalho</t>
    </r>
  </si>
  <si>
    <r>
      <rPr>
        <u val="single"/>
        <sz val="11"/>
        <color indexed="8"/>
        <rFont val="Calibri"/>
        <family val="2"/>
      </rPr>
      <t>Número de plantadores necessários</t>
    </r>
  </si>
  <si>
    <r>
      <rPr>
        <sz val="11"/>
        <color indexed="8"/>
        <rFont val="Calibri"/>
        <family val="2"/>
      </rPr>
      <t>Transporte interno das Groasis Waterboxxes e plantas por hora homem</t>
    </r>
  </si>
  <si>
    <r>
      <rPr>
        <u val="single"/>
        <sz val="11"/>
        <color indexed="8"/>
        <rFont val="Calibri"/>
        <family val="2"/>
      </rPr>
      <t>Transporte interno ao plantar</t>
    </r>
  </si>
  <si>
    <r>
      <rPr>
        <sz val="11"/>
        <color indexed="8"/>
        <rFont val="Calibri"/>
        <family val="2"/>
      </rPr>
      <t>Número de furos de plantio e água das Groasis Waterboxxes por hora homem</t>
    </r>
  </si>
  <si>
    <r>
      <rPr>
        <i/>
        <sz val="11"/>
        <color indexed="8"/>
        <rFont val="Calibri"/>
        <family val="2"/>
      </rPr>
      <t>Nota: em circunstâncias secas, você tem que encher os furos de plantio com 20 a 40 litros de água, um dia antes do plantio. Após o plantio, você enche a abertura do meio do Groasis Waterboxx com 4 litros, e o Groasis Waterboxx-se com 16 litros</t>
    </r>
  </si>
  <si>
    <r>
      <rPr>
        <u val="single"/>
        <sz val="11"/>
        <color indexed="8"/>
        <rFont val="Calibri"/>
        <family val="2"/>
      </rPr>
      <t>Concessão de água ao plantar</t>
    </r>
  </si>
  <si>
    <r>
      <rPr>
        <sz val="11"/>
        <color indexed="8"/>
        <rFont val="Calibri"/>
        <family val="2"/>
      </rPr>
      <t>Tempo de limpeza por ha (ervas daninhas/espécies invasoras)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</si>
  <si>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</si>
  <si>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hectares a serem limpos por dia</t>
    </r>
  </si>
  <si>
    <r>
      <rPr>
        <sz val="11"/>
        <color indexed="8"/>
        <rFont val="Calibri"/>
        <family val="2"/>
      </rPr>
      <t>ha</t>
    </r>
  </si>
  <si>
    <r>
      <rPr>
        <u val="single"/>
        <sz val="11"/>
        <color indexed="8"/>
        <rFont val="Calibri"/>
        <family val="2"/>
      </rPr>
      <t>Número de profissionais de limpeza necessários</t>
    </r>
  </si>
  <si>
    <r>
      <rPr>
        <sz val="11"/>
        <color indexed="8"/>
        <rFont val="Calibri"/>
        <family val="2"/>
      </rPr>
      <t>Imprevistos</t>
    </r>
  </si>
  <si>
    <r>
      <rPr>
        <sz val="11"/>
        <color indexed="8"/>
        <rFont val="Calibri"/>
        <family val="2"/>
      </rPr>
      <t>%</t>
    </r>
  </si>
  <si>
    <r>
      <rPr>
        <u val="single"/>
        <sz val="11"/>
        <color indexed="8"/>
        <rFont val="Calibri"/>
        <family val="2"/>
      </rPr>
      <t>Estimativa de trabalho imprevisto</t>
    </r>
  </si>
  <si>
    <r>
      <rPr>
        <u val="single"/>
        <sz val="11"/>
        <color indexed="8"/>
        <rFont val="Calibri"/>
        <family val="2"/>
      </rPr>
      <t>Custos de alojamento por trabalhador por dia</t>
    </r>
  </si>
  <si>
    <r>
      <rPr>
        <u val="single"/>
        <sz val="11"/>
        <color indexed="8"/>
        <rFont val="Calibri"/>
        <family val="2"/>
      </rPr>
      <t>Gerenciamento</t>
    </r>
  </si>
  <si>
    <r>
      <rPr>
        <b/>
        <u val="single"/>
        <sz val="11"/>
        <color indexed="8"/>
        <rFont val="Calibri"/>
        <family val="2"/>
      </rPr>
      <t>Trabalhadores totais necessários para o plantio do projeto incl. gerenciamento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</si>
  <si>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</si>
  <si>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</si>
  <si>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1"/>
        <color indexed="8"/>
        <rFont val="Calibri"/>
        <family val="2"/>
      </rPr>
      <t>Esta página descreve o tamanho do viveiro que você precisa para produzir as árvores jovens/arbustos antes de plantá-las.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</si>
  <si>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</si>
  <si>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</si>
  <si>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</si>
  <si>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semanas</t>
    </r>
  </si>
  <si>
    <r>
      <rPr>
        <sz val="11"/>
        <color indexed="8"/>
        <rFont val="Calibri"/>
        <family val="2"/>
      </rPr>
      <t>Densidade das plantas em viveiro, primeira parte do tempo em viveiro, bandejas de poliestireno</t>
    </r>
  </si>
  <si>
    <r>
      <rPr>
        <sz val="11"/>
        <color indexed="8"/>
        <rFont val="Calibri"/>
        <family val="2"/>
      </rPr>
      <t>plantas/m2 bruto</t>
    </r>
  </si>
  <si>
    <r>
      <rPr>
        <sz val="11"/>
        <color indexed="8"/>
        <rFont val="Calibri"/>
        <family val="2"/>
      </rPr>
      <t>Densidade das plantas em viveiro, semanas restantes, bandejas de poliestireno</t>
    </r>
  </si>
  <si>
    <r>
      <rPr>
        <sz val="11"/>
        <color indexed="8"/>
        <rFont val="Calibri"/>
        <family val="2"/>
      </rPr>
      <t>plantas/m2 bruto</t>
    </r>
  </si>
  <si>
    <r>
      <rPr>
        <sz val="11"/>
        <color indexed="8"/>
        <rFont val="Calibri"/>
        <family val="2"/>
      </rPr>
      <t>Tempo em viveiro nas últimas semanas com 800 plantas por m2</t>
    </r>
  </si>
  <si>
    <r>
      <rPr>
        <sz val="11"/>
        <color indexed="8"/>
        <rFont val="Calibri"/>
        <family val="2"/>
      </rPr>
      <t>Número líquido de plantas exigidas por semana</t>
    </r>
  </si>
  <si>
    <r>
      <rPr>
        <sz val="11"/>
        <color indexed="8"/>
        <rFont val="Calibri"/>
        <family val="2"/>
      </rPr>
      <t>Perda de plantas durante a produção em viveiro</t>
    </r>
  </si>
  <si>
    <r>
      <rPr>
        <sz val="11"/>
        <color indexed="8"/>
        <rFont val="Calibri"/>
        <family val="2"/>
      </rPr>
      <t>Número bruto de plantas exigidas por semana</t>
    </r>
  </si>
  <si>
    <r>
      <rPr>
        <sz val="11"/>
        <color indexed="8"/>
        <rFont val="Calibri"/>
        <family val="2"/>
      </rPr>
      <t>Tamanho bruto da produção de uma primeira semana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</si>
  <si>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</si>
  <si>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total dos requisitos de produção, primeiro período de produção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</si>
  <si>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</si>
  <si>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por semana para as semana remanescentes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</si>
  <si>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</si>
  <si>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total dos requisitos de produção, último período de produção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</si>
  <si>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</si>
  <si>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total  necessário do viveiro (área útil)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</si>
  <si>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</si>
  <si>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Percentual de área não utilizada em estufa (caminhos)</t>
    </r>
  </si>
  <si>
    <r>
      <rPr>
        <b/>
        <u val="single"/>
        <sz val="11"/>
        <color indexed="8"/>
        <rFont val="Calibri"/>
        <family val="2"/>
      </rPr>
      <t>Tamanho total necessário do viveiro (área bruta)</t>
    </r>
  </si>
  <si>
    <r>
      <rPr>
        <b/>
        <sz val="11"/>
        <color indexed="8"/>
        <rFont val="Calibri"/>
        <family val="2"/>
      </rPr>
      <t>m2</t>
    </r>
  </si>
  <si>
    <r>
      <rPr>
        <i/>
        <sz val="11"/>
        <color indexed="8"/>
        <rFont val="Calibri"/>
        <family val="2"/>
      </rPr>
      <t xml:space="preserve">                                             tornar  produtivo um terreno baldio novamente</t>
    </r>
  </si>
  <si>
    <r>
      <rPr>
        <sz val="11"/>
        <color indexed="8"/>
        <rFont val="Calibri"/>
        <family val="2"/>
      </rPr>
      <t>Esta página descreve os custos de gerenciamento e administração incl. edifício</t>
    </r>
  </si>
  <si>
    <r>
      <rPr>
        <sz val="11"/>
        <color indexed="8"/>
        <rFont val="Calibri"/>
        <family val="2"/>
      </rPr>
      <t>Por favor, somente altere os valores nas células a amarelo claro: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</si>
  <si>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</si>
  <si>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Número</t>
    </r>
  </si>
  <si>
    <r>
      <rPr>
        <sz val="10"/>
        <color indexed="9"/>
        <rFont val="Calibri"/>
        <family val="2"/>
      </rPr>
      <t>Salário anual</t>
    </r>
  </si>
  <si>
    <r>
      <rPr>
        <sz val="10"/>
        <color indexed="9"/>
        <rFont val="Calibri"/>
        <family val="2"/>
      </rPr>
      <t>Total</t>
    </r>
  </si>
  <si>
    <r>
      <rPr>
        <sz val="10"/>
        <color indexed="9"/>
        <rFont val="Calibri"/>
        <family val="2"/>
      </rPr>
      <t>Custos de administração</t>
    </r>
  </si>
  <si>
    <r>
      <rPr>
        <sz val="10"/>
        <color indexed="9"/>
        <rFont val="Calibri"/>
        <family val="2"/>
      </rPr>
      <t>Total</t>
    </r>
  </si>
  <si>
    <r>
      <rPr>
        <sz val="11"/>
        <color indexed="8"/>
        <rFont val="Calibri"/>
        <family val="2"/>
      </rPr>
      <t>Gerente Geral</t>
    </r>
  </si>
  <si>
    <r>
      <rPr>
        <sz val="11"/>
        <color indexed="8"/>
        <rFont val="Calibri"/>
        <family val="2"/>
      </rPr>
      <t>Gerente Financeiro</t>
    </r>
  </si>
  <si>
    <r>
      <rPr>
        <sz val="11"/>
        <color indexed="8"/>
        <rFont val="Calibri"/>
        <family val="2"/>
      </rPr>
      <t>Marketing e vendas</t>
    </r>
  </si>
  <si>
    <r>
      <rPr>
        <sz val="11"/>
        <color indexed="8"/>
        <rFont val="Calibri"/>
        <family val="2"/>
      </rPr>
      <t>Recursos Humanos</t>
    </r>
  </si>
  <si>
    <r>
      <rPr>
        <sz val="11"/>
        <color indexed="8"/>
        <rFont val="Calibri"/>
        <family val="2"/>
      </rPr>
      <t>Assistente do Gerente Geral</t>
    </r>
  </si>
  <si>
    <r>
      <rPr>
        <sz val="11"/>
        <color indexed="8"/>
        <rFont val="Calibri"/>
        <family val="2"/>
      </rPr>
      <t>Controle de Qualidade</t>
    </r>
  </si>
  <si>
    <r>
      <rPr>
        <sz val="11"/>
        <color indexed="8"/>
        <rFont val="Calibri"/>
        <family val="2"/>
      </rPr>
      <t>Comunicação</t>
    </r>
  </si>
  <si>
    <r>
      <rPr>
        <sz val="11"/>
        <color indexed="8"/>
        <rFont val="Calibri"/>
        <family val="2"/>
      </rPr>
      <t>Viveiro</t>
    </r>
  </si>
  <si>
    <r>
      <rPr>
        <sz val="11"/>
        <color indexed="8"/>
        <rFont val="Calibri"/>
        <family val="2"/>
      </rPr>
      <t>Silvicultura</t>
    </r>
  </si>
  <si>
    <r>
      <rPr>
        <sz val="11"/>
        <color indexed="8"/>
        <rFont val="Calibri"/>
        <family val="2"/>
      </rPr>
      <t>Logística</t>
    </r>
  </si>
  <si>
    <r>
      <rPr>
        <sz val="11"/>
        <color indexed="8"/>
        <rFont val="Calibri"/>
        <family val="2"/>
      </rPr>
      <t>Mecânica</t>
    </r>
  </si>
  <si>
    <r>
      <rPr>
        <sz val="11"/>
        <color indexed="8"/>
        <rFont val="Calibri"/>
        <family val="2"/>
      </rPr>
      <t>Alimentação e Saúde</t>
    </r>
  </si>
  <si>
    <r>
      <rPr>
        <sz val="11"/>
        <color indexed="8"/>
        <rFont val="Calibri"/>
        <family val="2"/>
      </rPr>
      <t>Segurança</t>
    </r>
  </si>
  <si>
    <r>
      <rPr>
        <sz val="11"/>
        <color indexed="8"/>
        <rFont val="Calibri"/>
        <family val="2"/>
      </rPr>
      <t>Médico</t>
    </r>
  </si>
  <si>
    <r>
      <rPr>
        <sz val="11"/>
        <color indexed="8"/>
        <rFont val="Calibri"/>
        <family val="2"/>
      </rPr>
      <t>Legal</t>
    </r>
  </si>
  <si>
    <r>
      <rPr>
        <sz val="11"/>
        <color indexed="8"/>
        <rFont val="Calibri"/>
        <family val="2"/>
      </rPr>
      <t>Pessoal de apoio</t>
    </r>
  </si>
  <si>
    <r>
      <rPr>
        <sz val="11"/>
        <color indexed="8"/>
        <rFont val="Calibri"/>
        <family val="2"/>
      </rPr>
      <t>Subtotal</t>
    </r>
  </si>
  <si>
    <r>
      <rPr>
        <sz val="11"/>
        <color indexed="8"/>
        <rFont val="Calibri"/>
        <family val="2"/>
      </rPr>
      <t>Imprevistos</t>
    </r>
  </si>
  <si>
    <r>
      <rPr>
        <b/>
        <u val="single"/>
        <sz val="11"/>
        <color indexed="8"/>
        <rFont val="Calibri"/>
        <family val="2"/>
      </rPr>
      <t>Total de custos de gerenciamento</t>
    </r>
  </si>
  <si>
    <t>US$</t>
  </si>
  <si>
    <t>%</t>
  </si>
  <si>
    <t>Protecion de árvores contra animais</t>
  </si>
  <si>
    <t>Custos de proteção contra animais por hectare</t>
  </si>
  <si>
    <t>Custos de segurança / proteção da área</t>
  </si>
  <si>
    <t>Total segurança e os custos de segurança por hectare</t>
  </si>
  <si>
    <t>Nota: se o projeto dura menos de um ano, você tem que dividir o resultado da célula com 52, e multiplicar o número de semanas que o projeto é executado</t>
  </si>
  <si>
    <t>Notas de Orientação:</t>
  </si>
  <si>
    <t>para o Arvorución</t>
  </si>
  <si>
    <t>Preço por tonelada, redução de CO ₂ durante todo o período</t>
  </si>
  <si>
    <t>Redução anual em toneladas de CO₂</t>
  </si>
  <si>
    <t>Redução total de CO₂ em toneladas em 50 anos após o plantio</t>
  </si>
  <si>
    <t>Os custos padrão da gestão são tomadas por 10.000 hectares</t>
  </si>
  <si>
    <t>Nota: assume-se que os custos de produção do viveiro e equipamentos estão incluídos no preço de custo de árvores jovens (ver 'Custo de Plantio e Informações').</t>
  </si>
  <si>
    <t>INPUT</t>
  </si>
  <si>
    <t>Isso inclui o custo do viveiro se cultivada localmente</t>
  </si>
  <si>
    <t>Descartáveis ​​biodegradáveis ​​Groasis Growboxx</t>
  </si>
  <si>
    <t>O Groasis Growboxx é um inovador dispositivo utilizável por 1 ano ​​que permite plantar árvores - arbustos - plantas em terreno baldio.</t>
  </si>
  <si>
    <t>Esta página descreve o processo de plantio na área de deserto com a tecnologia Groasis Growboxx.</t>
  </si>
  <si>
    <t>Número de Groasis Growboxxes / buracos de plantio por ha</t>
  </si>
  <si>
    <t>Número de árvores por Groasis Growboxx</t>
  </si>
  <si>
    <t>Número de variedades plantadas por Groasis Growboxx</t>
  </si>
  <si>
    <t>Custo total por Groasis Growboxx</t>
  </si>
  <si>
    <t>Custo das Groasis Growboxxes por ha</t>
  </si>
  <si>
    <t>Custos com salários do plantio com Groasis Growboxx</t>
  </si>
  <si>
    <t>Nota: em circunstâncias secas, você tem que preencher os buracos de plantio com 20 a 40 litros de água, um dia antes do plantio. Depois de plantar, você enche a abertura do meio do Groasis Growboxx com 4 litros, e o Groasis Growboxx-se com 16 litros</t>
  </si>
  <si>
    <t>POR FAVOR, INDIQUE O NÚMERO DE GrowboxxES POR HA</t>
  </si>
  <si>
    <t>Nota: este é um modelo simplificado para um rápido levantamento dos custos associados a um projeto de plantio de árvores em terrenos baldios, áreas erodidas ou rochosas ao usar o Groasis Growboxx. O modelo não pretende ser uma representação completa das implicações.</t>
  </si>
  <si>
    <t>Idade mínima das plantas antes do plantio nas Groasis Growboxxes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</si>
</sst>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_-* #,##0.00_-;\-* #,##0.00_-;_-* \-??_-;_-@_-"/>
    <numFmt numFmtId="174" formatCode="_-* #,##0_-;\-* #,##0_-;_-* \-??_-;_-@_-"/>
    <numFmt numFmtId="175" formatCode="_-* #,##0.0_-;\-* #,##0.0_-;_-* \-??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#,##0_ ;\-#,##0\ "/>
    <numFmt numFmtId="187" formatCode="_-* #,##0.00000000_-;\-* #,##0.00000000_-;_-* \-??_-;_-@_-"/>
    <numFmt numFmtId="188" formatCode="_-* #,##0.0000000_-;\-* #,##0.0000000_-;_-* \-??_-;_-@_-"/>
    <numFmt numFmtId="189" formatCode="_-* #,##0.000000_-;\-* #,##0.000000_-;_-* \-??_-;_-@_-"/>
    <numFmt numFmtId="190" formatCode="_-* #,##0.00000_-;\-* #,##0.00000_-;_-* \-??_-;_-@_-"/>
    <numFmt numFmtId="191" formatCode="_-* #,##0.0000_-;\-* #,##0.0000_-;_-* \-??_-;_-@_-"/>
    <numFmt numFmtId="192" formatCode="_-* #,##0.000_-;\-* #,##0.000_-;_-* \-??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18"/>
      <name val="Calibri"/>
      <family val="2"/>
    </font>
    <font>
      <b/>
      <i/>
      <sz val="24"/>
      <color indexed="9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9"/>
      <name val="Arial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52" applyFill="1">
      <alignment/>
      <protection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/>
      <protection/>
    </xf>
    <xf numFmtId="172" fontId="4" fillId="33" borderId="0" xfId="52" applyNumberFormat="1" applyFont="1" applyFill="1" applyAlignment="1">
      <alignment horizontal="center"/>
      <protection/>
    </xf>
    <xf numFmtId="0" fontId="6" fillId="34" borderId="0" xfId="52" applyFont="1" applyFill="1" applyAlignment="1">
      <alignment horizontal="center" wrapText="1"/>
      <protection/>
    </xf>
    <xf numFmtId="0" fontId="7" fillId="33" borderId="0" xfId="52" applyFont="1" applyFill="1" applyAlignment="1">
      <alignment horizontal="center"/>
      <protection/>
    </xf>
    <xf numFmtId="0" fontId="8" fillId="34" borderId="10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/>
      <protection/>
    </xf>
    <xf numFmtId="0" fontId="10" fillId="33" borderId="0" xfId="43" applyNumberFormat="1" applyFont="1" applyFill="1" applyBorder="1" applyAlignment="1" applyProtection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174" fontId="0" fillId="0" borderId="0" xfId="4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37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" fontId="0" fillId="37" borderId="0" xfId="0" applyNumberFormat="1" applyFill="1" applyAlignment="1">
      <alignment/>
    </xf>
    <xf numFmtId="0" fontId="14" fillId="0" borderId="0" xfId="0" applyNumberFormat="1" applyFont="1" applyAlignment="1">
      <alignment/>
    </xf>
    <xf numFmtId="9" fontId="0" fillId="37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4" fillId="0" borderId="0" xfId="0" applyNumberFormat="1" applyFont="1" applyFill="1" applyAlignment="1">
      <alignment/>
    </xf>
    <xf numFmtId="9" fontId="0" fillId="37" borderId="0" xfId="55" applyFont="1" applyFill="1" applyBorder="1" applyAlignment="1" applyProtection="1">
      <alignment/>
      <protection/>
    </xf>
    <xf numFmtId="174" fontId="14" fillId="0" borderId="0" xfId="0" applyNumberFormat="1" applyFont="1" applyAlignment="1">
      <alignment/>
    </xf>
    <xf numFmtId="0" fontId="13" fillId="35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37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8" borderId="0" xfId="0" applyFill="1" applyBorder="1" applyAlignment="1">
      <alignment/>
    </xf>
    <xf numFmtId="1" fontId="12" fillId="39" borderId="0" xfId="4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0" fillId="40" borderId="0" xfId="0" applyFont="1" applyFill="1" applyAlignment="1">
      <alignment/>
    </xf>
    <xf numFmtId="2" fontId="0" fillId="0" borderId="0" xfId="0" applyNumberFormat="1" applyAlignment="1">
      <alignment/>
    </xf>
    <xf numFmtId="174" fontId="0" fillId="41" borderId="0" xfId="45" applyNumberFormat="1" applyFill="1" applyAlignment="1">
      <alignment/>
    </xf>
    <xf numFmtId="0" fontId="12" fillId="39" borderId="0" xfId="0" applyFont="1" applyFill="1" applyAlignment="1">
      <alignment/>
    </xf>
    <xf numFmtId="174" fontId="12" fillId="39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16" fillId="39" borderId="0" xfId="0" applyFont="1" applyFill="1" applyAlignment="1">
      <alignment/>
    </xf>
    <xf numFmtId="3" fontId="12" fillId="39" borderId="0" xfId="0" applyNumberFormat="1" applyFont="1" applyFill="1" applyAlignment="1">
      <alignment/>
    </xf>
    <xf numFmtId="174" fontId="12" fillId="39" borderId="0" xfId="45" applyNumberFormat="1" applyFont="1" applyFill="1" applyBorder="1" applyAlignment="1" applyProtection="1">
      <alignment/>
      <protection/>
    </xf>
    <xf numFmtId="1" fontId="0" fillId="38" borderId="0" xfId="0" applyNumberFormat="1" applyFill="1" applyAlignment="1">
      <alignment/>
    </xf>
    <xf numFmtId="0" fontId="0" fillId="39" borderId="0" xfId="0" applyFill="1" applyAlignment="1">
      <alignment/>
    </xf>
    <xf numFmtId="173" fontId="12" fillId="39" borderId="0" xfId="45" applyFont="1" applyFill="1" applyBorder="1" applyAlignment="1" applyProtection="1">
      <alignment/>
      <protection/>
    </xf>
    <xf numFmtId="9" fontId="0" fillId="43" borderId="0" xfId="45" applyNumberFormat="1" applyFont="1" applyFill="1" applyBorder="1" applyAlignment="1" applyProtection="1">
      <alignment/>
      <protection/>
    </xf>
    <xf numFmtId="0" fontId="0" fillId="43" borderId="12" xfId="0" applyFont="1" applyFill="1" applyBorder="1" applyAlignment="1">
      <alignment horizontal="left" wrapText="1"/>
    </xf>
    <xf numFmtId="173" fontId="0" fillId="44" borderId="12" xfId="45" applyNumberFormat="1" applyFont="1" applyFill="1" applyBorder="1" applyAlignment="1" applyProtection="1">
      <alignment/>
      <protection/>
    </xf>
    <xf numFmtId="9" fontId="0" fillId="43" borderId="0" xfId="0" applyNumberFormat="1" applyFill="1" applyAlignment="1">
      <alignment/>
    </xf>
    <xf numFmtId="3" fontId="0" fillId="38" borderId="12" xfId="0" applyNumberFormat="1" applyFill="1" applyBorder="1" applyAlignment="1">
      <alignment/>
    </xf>
    <xf numFmtId="174" fontId="0" fillId="0" borderId="0" xfId="45" applyNumberFormat="1" applyAlignment="1">
      <alignment/>
    </xf>
    <xf numFmtId="0" fontId="0" fillId="42" borderId="13" xfId="0" applyFill="1" applyBorder="1" applyAlignment="1">
      <alignment/>
    </xf>
    <xf numFmtId="174" fontId="0" fillId="43" borderId="0" xfId="45" applyNumberFormat="1" applyFill="1" applyAlignment="1">
      <alignment/>
    </xf>
    <xf numFmtId="0" fontId="0" fillId="0" borderId="0" xfId="0" applyFont="1" applyFill="1" applyBorder="1" applyAlignment="1">
      <alignment/>
    </xf>
    <xf numFmtId="186" fontId="0" fillId="43" borderId="0" xfId="45" applyNumberFormat="1" applyFill="1" applyAlignment="1">
      <alignment/>
    </xf>
    <xf numFmtId="174" fontId="12" fillId="45" borderId="0" xfId="45" applyNumberFormat="1" applyFont="1" applyFill="1" applyBorder="1" applyAlignment="1" applyProtection="1">
      <alignment/>
      <protection/>
    </xf>
    <xf numFmtId="174" fontId="0" fillId="42" borderId="14" xfId="45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174" fontId="0" fillId="42" borderId="16" xfId="45" applyNumberFormat="1" applyFont="1" applyFill="1" applyBorder="1" applyAlignment="1" applyProtection="1">
      <alignment/>
      <protection/>
    </xf>
    <xf numFmtId="174" fontId="0" fillId="37" borderId="17" xfId="45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4" fontId="0" fillId="42" borderId="18" xfId="45" applyNumberFormat="1" applyFont="1" applyFill="1" applyBorder="1" applyAlignment="1" applyProtection="1">
      <alignment/>
      <protection/>
    </xf>
    <xf numFmtId="186" fontId="0" fillId="42" borderId="18" xfId="45" applyNumberFormat="1" applyFont="1" applyFill="1" applyBorder="1" applyAlignment="1" applyProtection="1">
      <alignment/>
      <protection/>
    </xf>
    <xf numFmtId="174" fontId="0" fillId="33" borderId="19" xfId="45" applyNumberFormat="1" applyFont="1" applyFill="1" applyBorder="1" applyAlignment="1" applyProtection="1">
      <alignment/>
      <protection/>
    </xf>
    <xf numFmtId="174" fontId="0" fillId="33" borderId="20" xfId="45" applyNumberFormat="1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22" xfId="0" applyFont="1" applyFill="1" applyBorder="1" applyAlignment="1">
      <alignment/>
    </xf>
    <xf numFmtId="174" fontId="0" fillId="47" borderId="23" xfId="45" applyNumberFormat="1" applyFont="1" applyFill="1" applyBorder="1" applyAlignment="1" applyProtection="1">
      <alignment/>
      <protection/>
    </xf>
    <xf numFmtId="174" fontId="0" fillId="46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1876425</xdr:colOff>
      <xdr:row>5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76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1247775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off@groasis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421875" style="1" customWidth="1"/>
    <col min="2" max="16384" width="9.140625" style="1" customWidth="1"/>
  </cols>
  <sheetData>
    <row r="1" ht="12.75">
      <c r="A1" s="2"/>
    </row>
    <row r="2" ht="12.75">
      <c r="A2" s="2"/>
    </row>
    <row r="3" ht="23.25">
      <c r="A3" s="3"/>
    </row>
    <row r="4" ht="12.75">
      <c r="A4" s="2"/>
    </row>
    <row r="5" ht="12.75">
      <c r="A5" s="2"/>
    </row>
    <row r="6" ht="12.75">
      <c r="A6" s="2"/>
    </row>
    <row r="7" ht="87" customHeight="1">
      <c r="A7" s="4" t="s">
        <v>0</v>
      </c>
    </row>
    <row r="8" ht="31.5">
      <c r="A8" s="5" t="s">
        <v>1</v>
      </c>
    </row>
    <row r="9" ht="63">
      <c r="A9" s="4" t="s">
        <v>215</v>
      </c>
    </row>
    <row r="10" ht="31.5">
      <c r="A10" s="5" t="s">
        <v>207</v>
      </c>
    </row>
    <row r="11" ht="31.5">
      <c r="A11" s="6"/>
    </row>
    <row r="12" ht="63">
      <c r="A12" s="7" t="s">
        <v>226</v>
      </c>
    </row>
    <row r="13" ht="15.75">
      <c r="A13" s="8"/>
    </row>
    <row r="14" ht="12.75">
      <c r="A14" s="9" t="s">
        <v>2</v>
      </c>
    </row>
    <row r="15" ht="12.75">
      <c r="A15" s="10" t="s">
        <v>3</v>
      </c>
    </row>
    <row r="18" ht="15.75">
      <c r="A18" s="11"/>
    </row>
    <row r="19" ht="15.75">
      <c r="A19" s="11"/>
    </row>
    <row r="20" ht="12.75">
      <c r="A20" s="2"/>
    </row>
    <row r="21" ht="12.75">
      <c r="A21" s="2"/>
    </row>
    <row r="22" ht="12.75">
      <c r="A22" s="2"/>
    </row>
    <row r="23" ht="15.75">
      <c r="A23" s="12" t="s">
        <v>4</v>
      </c>
    </row>
    <row r="24" ht="12.75">
      <c r="A24" s="13" t="s">
        <v>5</v>
      </c>
    </row>
    <row r="25" ht="15.75">
      <c r="A25" s="12"/>
    </row>
    <row r="27" ht="12.75">
      <c r="A27" s="2"/>
    </row>
    <row r="28" ht="12.75">
      <c r="A28" s="14" t="s">
        <v>6</v>
      </c>
    </row>
  </sheetData>
  <sheetProtection selectLockedCells="1" selectUnlockedCells="1"/>
  <hyperlinks>
    <hyperlink ref="A24" r:id="rId1" display="phoff@groasis.com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1.421875" style="0" customWidth="1"/>
    <col min="2" max="2" width="9.57421875" style="0" customWidth="1"/>
    <col min="3" max="3" width="19.7109375" style="0" customWidth="1"/>
    <col min="4" max="4" width="3.8515625" style="0" customWidth="1"/>
  </cols>
  <sheetData>
    <row r="1" spans="1:5" s="16" customFormat="1" ht="27" customHeight="1">
      <c r="A1" s="15" t="s">
        <v>7</v>
      </c>
      <c r="B1" s="15"/>
      <c r="C1" s="15"/>
      <c r="D1" s="77"/>
      <c r="E1" s="77"/>
    </row>
    <row r="2" spans="1:5" s="16" customFormat="1" ht="15">
      <c r="A2" s="15" t="s">
        <v>8</v>
      </c>
      <c r="B2" s="15"/>
      <c r="C2" s="15"/>
      <c r="D2" s="77"/>
      <c r="E2" s="77"/>
    </row>
    <row r="3" s="16" customFormat="1" ht="15"/>
    <row r="4" s="16" customFormat="1" ht="15">
      <c r="A4" s="17" t="s">
        <v>9</v>
      </c>
    </row>
    <row r="5" spans="1:5" s="16" customFormat="1" ht="30.75" customHeight="1">
      <c r="A5" s="96" t="s">
        <v>216</v>
      </c>
      <c r="B5" s="97"/>
      <c r="C5" s="97"/>
      <c r="D5" s="97"/>
      <c r="E5" s="97"/>
    </row>
    <row r="7" spans="1:5" ht="15" customHeight="1" thickBot="1">
      <c r="A7" s="98" t="s">
        <v>206</v>
      </c>
      <c r="B7" s="98"/>
      <c r="C7" s="98"/>
      <c r="D7" s="98"/>
      <c r="E7" s="98"/>
    </row>
    <row r="8" spans="1:5" ht="15" customHeight="1" thickBot="1">
      <c r="A8" s="23" t="s">
        <v>36</v>
      </c>
      <c r="B8" s="56"/>
      <c r="C8" s="70"/>
      <c r="D8" s="56"/>
      <c r="E8" s="56"/>
    </row>
    <row r="10" ht="15.75" thickBot="1">
      <c r="A10" s="18" t="s">
        <v>10</v>
      </c>
    </row>
    <row r="11" spans="1:5" ht="15.75" thickBot="1">
      <c r="A11" s="80" t="s">
        <v>11</v>
      </c>
      <c r="B11" s="81" t="s">
        <v>12</v>
      </c>
      <c r="C11" s="82">
        <v>2000000000</v>
      </c>
      <c r="E11" s="19" t="s">
        <v>13</v>
      </c>
    </row>
    <row r="12" spans="1:5" ht="15.75" thickBot="1">
      <c r="A12" s="83" t="s">
        <v>14</v>
      </c>
      <c r="B12" s="84" t="s">
        <v>15</v>
      </c>
      <c r="C12" s="85">
        <v>60</v>
      </c>
      <c r="E12" s="19" t="s">
        <v>16</v>
      </c>
    </row>
    <row r="13" spans="1:5" ht="15.75" thickBot="1">
      <c r="A13" s="83" t="s">
        <v>17</v>
      </c>
      <c r="B13" s="84" t="s">
        <v>18</v>
      </c>
      <c r="C13" s="86">
        <v>4</v>
      </c>
      <c r="E13" s="19" t="s">
        <v>19</v>
      </c>
    </row>
    <row r="14" spans="1:5" ht="15.75" thickBot="1">
      <c r="A14" s="83" t="s">
        <v>225</v>
      </c>
      <c r="B14" s="84"/>
      <c r="C14" s="85">
        <v>250</v>
      </c>
      <c r="E14" s="19" t="s">
        <v>20</v>
      </c>
    </row>
    <row r="15" spans="1:5" ht="15.75" thickBot="1">
      <c r="A15" s="83" t="s">
        <v>21</v>
      </c>
      <c r="B15" s="84"/>
      <c r="C15" s="85">
        <v>46</v>
      </c>
      <c r="E15" s="19" t="s">
        <v>22</v>
      </c>
    </row>
    <row r="16" spans="1:4" ht="15">
      <c r="A16" s="87" t="s">
        <v>23</v>
      </c>
      <c r="B16" s="84" t="s">
        <v>24</v>
      </c>
      <c r="C16" s="88">
        <f>Emprego!C13</f>
        <v>724637.6811594203</v>
      </c>
      <c r="D16" s="19"/>
    </row>
    <row r="17" spans="1:3" ht="15">
      <c r="A17" s="89" t="s">
        <v>25</v>
      </c>
      <c r="B17" s="84" t="s">
        <v>26</v>
      </c>
      <c r="C17" s="88">
        <f>C25/C12</f>
        <v>65000.52325</v>
      </c>
    </row>
    <row r="18" spans="1:3" ht="15">
      <c r="A18" s="89" t="s">
        <v>27</v>
      </c>
      <c r="B18" s="84" t="s">
        <v>28</v>
      </c>
      <c r="C18" s="88">
        <f>(C25*1000000)/C11</f>
        <v>1950.0156975</v>
      </c>
    </row>
    <row r="19" spans="1:3" ht="15">
      <c r="A19" s="89" t="s">
        <v>29</v>
      </c>
      <c r="B19" s="84" t="s">
        <v>30</v>
      </c>
      <c r="C19" s="88">
        <f>Emprego!C49</f>
        <v>7103818.666666667</v>
      </c>
    </row>
    <row r="20" spans="1:3" ht="15">
      <c r="A20" s="89" t="s">
        <v>31</v>
      </c>
      <c r="B20" s="84" t="s">
        <v>32</v>
      </c>
      <c r="C20" s="88">
        <f>Viveiro!C26</f>
        <v>77717391.30434781</v>
      </c>
    </row>
    <row r="21" spans="1:3" ht="15">
      <c r="A21" s="90" t="s">
        <v>209</v>
      </c>
      <c r="B21" s="84">
        <v>15</v>
      </c>
      <c r="C21" s="88">
        <f>C11*B21</f>
        <v>30000000000</v>
      </c>
    </row>
    <row r="22" spans="1:3" ht="15.75" thickBot="1">
      <c r="A22" s="89" t="s">
        <v>210</v>
      </c>
      <c r="B22" s="95">
        <f>50+(C12/2)</f>
        <v>80</v>
      </c>
      <c r="C22" s="88">
        <f>C21*B22</f>
        <v>2400000000000</v>
      </c>
    </row>
    <row r="23" spans="1:3" ht="15.75" thickBot="1">
      <c r="A23" s="89" t="s">
        <v>208</v>
      </c>
      <c r="B23" s="84"/>
      <c r="C23" s="71">
        <f>(C25*1000000)/C22</f>
        <v>1.62501308125</v>
      </c>
    </row>
    <row r="24" spans="1:3" ht="15.75" thickBot="1">
      <c r="A24" s="91" t="s">
        <v>33</v>
      </c>
      <c r="B24" s="84"/>
      <c r="C24" s="88">
        <f>'Custos de Plantio e Informações'!C16*'Custos de Plantio e Informações'!C22*'Custos de Plantio e Informações'!C8</f>
        <v>900000000000</v>
      </c>
    </row>
    <row r="25" spans="1:3" ht="15.75" thickBot="1">
      <c r="A25" s="92" t="s">
        <v>34</v>
      </c>
      <c r="B25" s="93" t="s">
        <v>35</v>
      </c>
      <c r="C25" s="94">
        <f>'Custos de Plantio e Informações'!C55*'Custos de Plantio e Informações'!C8/1000000</f>
        <v>3900031.395</v>
      </c>
    </row>
    <row r="26" spans="1:3" s="22" customFormat="1" ht="15">
      <c r="A26" s="20"/>
      <c r="B26" s="20"/>
      <c r="C26" s="21"/>
    </row>
    <row r="27" ht="15">
      <c r="A27" s="18"/>
    </row>
    <row r="28" spans="1:3" ht="15">
      <c r="A28" s="23"/>
      <c r="B28" s="22"/>
      <c r="C28" s="54"/>
    </row>
    <row r="30" ht="15">
      <c r="C30" s="57"/>
    </row>
  </sheetData>
  <sheetProtection selectLockedCells="1" selectUnlockedCells="1"/>
  <mergeCells count="2">
    <mergeCell ref="A5:E5"/>
    <mergeCell ref="A7:E7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9.28125" style="0" customWidth="1"/>
    <col min="2" max="2" width="10.7109375" style="0" customWidth="1"/>
    <col min="3" max="3" width="14.00390625" style="0" customWidth="1"/>
    <col min="4" max="4" width="3.8515625" style="0" customWidth="1"/>
    <col min="9" max="9" width="10.00390625" style="0" customWidth="1"/>
  </cols>
  <sheetData>
    <row r="1" spans="1:5" s="16" customFormat="1" ht="27" customHeight="1">
      <c r="A1" s="15" t="s">
        <v>37</v>
      </c>
      <c r="B1" s="15"/>
      <c r="C1" s="15"/>
      <c r="D1" s="77"/>
      <c r="E1" s="77"/>
    </row>
    <row r="2" spans="1:5" s="16" customFormat="1" ht="15">
      <c r="A2" s="15" t="s">
        <v>38</v>
      </c>
      <c r="B2" s="15"/>
      <c r="C2" s="15"/>
      <c r="D2" s="77"/>
      <c r="E2" s="77"/>
    </row>
    <row r="4" spans="1:4" ht="15">
      <c r="A4" s="22" t="s">
        <v>217</v>
      </c>
      <c r="B4" s="22"/>
      <c r="C4" s="22"/>
      <c r="D4" s="22"/>
    </row>
    <row r="6" spans="1:3" ht="15">
      <c r="A6" s="24" t="s">
        <v>213</v>
      </c>
      <c r="B6" s="25" t="s">
        <v>39</v>
      </c>
      <c r="C6" s="26" t="s">
        <v>40</v>
      </c>
    </row>
    <row r="8" spans="1:3" ht="15">
      <c r="A8" t="s">
        <v>41</v>
      </c>
      <c r="B8" t="s">
        <v>42</v>
      </c>
      <c r="C8" s="21">
        <f>'Introdução e Resumo'!C11</f>
        <v>2000000000</v>
      </c>
    </row>
    <row r="9" spans="1:3" ht="15">
      <c r="A9" t="s">
        <v>43</v>
      </c>
      <c r="B9" t="s">
        <v>44</v>
      </c>
      <c r="C9" s="21">
        <f>'Introdução e Resumo'!C12</f>
        <v>60</v>
      </c>
    </row>
    <row r="10" ht="15">
      <c r="C10" s="22"/>
    </row>
    <row r="11" spans="1:3" ht="15">
      <c r="A11" t="s">
        <v>45</v>
      </c>
      <c r="B11" t="s">
        <v>46</v>
      </c>
      <c r="C11" s="21">
        <f>Emprego!C38*'Introdução e Resumo'!C13</f>
        <v>32</v>
      </c>
    </row>
    <row r="12" spans="1:3" ht="15">
      <c r="A12" s="27" t="s">
        <v>47</v>
      </c>
      <c r="B12" s="27" t="s">
        <v>48</v>
      </c>
      <c r="C12" s="28">
        <f>C11</f>
        <v>32</v>
      </c>
    </row>
    <row r="14" spans="1:3" ht="15">
      <c r="A14" t="s">
        <v>218</v>
      </c>
      <c r="C14" s="29">
        <f>'Introdução e Resumo'!C14</f>
        <v>250</v>
      </c>
    </row>
    <row r="15" spans="1:14" ht="15">
      <c r="A15" t="s">
        <v>219</v>
      </c>
      <c r="C15" s="30">
        <v>2</v>
      </c>
      <c r="E15" s="19" t="s">
        <v>49</v>
      </c>
      <c r="M15" s="31">
        <v>1</v>
      </c>
      <c r="N15" s="31">
        <v>2</v>
      </c>
    </row>
    <row r="16" spans="1:3" ht="15">
      <c r="A16" t="s">
        <v>50</v>
      </c>
      <c r="C16" s="29">
        <f>C14*C15</f>
        <v>500</v>
      </c>
    </row>
    <row r="17" spans="1:14" ht="15">
      <c r="A17" t="s">
        <v>220</v>
      </c>
      <c r="C17" s="30">
        <v>2</v>
      </c>
      <c r="E17" s="19" t="s">
        <v>51</v>
      </c>
      <c r="M17" s="31">
        <v>1</v>
      </c>
      <c r="N17" s="31">
        <v>2</v>
      </c>
    </row>
    <row r="18" spans="1:5" ht="15">
      <c r="A18" t="s">
        <v>52</v>
      </c>
      <c r="B18" t="s">
        <v>53</v>
      </c>
      <c r="C18" s="30">
        <v>0.25</v>
      </c>
      <c r="E18" s="19" t="s">
        <v>214</v>
      </c>
    </row>
    <row r="19" spans="1:5" ht="15">
      <c r="A19" t="s">
        <v>54</v>
      </c>
      <c r="B19" t="s">
        <v>55</v>
      </c>
      <c r="C19" s="33">
        <v>0.25</v>
      </c>
      <c r="E19" s="19" t="s">
        <v>214</v>
      </c>
    </row>
    <row r="20" spans="1:3" ht="15">
      <c r="A20" s="27" t="s">
        <v>56</v>
      </c>
      <c r="B20" s="27" t="s">
        <v>57</v>
      </c>
      <c r="C20" s="34">
        <f>IF(C17=M17,(C16*C18),(((C16/2)*C18)+((C16/2)*C19)))</f>
        <v>125</v>
      </c>
    </row>
    <row r="22" spans="1:3" ht="15">
      <c r="A22" t="s">
        <v>58</v>
      </c>
      <c r="B22" t="s">
        <v>59</v>
      </c>
      <c r="C22" s="35">
        <v>0.9</v>
      </c>
    </row>
    <row r="23" spans="1:3" ht="15">
      <c r="A23" t="s">
        <v>60</v>
      </c>
      <c r="C23" s="36">
        <f>C22*C16</f>
        <v>450</v>
      </c>
    </row>
    <row r="24" spans="1:3" ht="15">
      <c r="A24" t="s">
        <v>61</v>
      </c>
      <c r="B24" t="s">
        <v>62</v>
      </c>
      <c r="C24" s="37">
        <f>ROUND(10000/(C16*C22),0)</f>
        <v>22</v>
      </c>
    </row>
    <row r="26" spans="1:5" s="50" customFormat="1" ht="15">
      <c r="A26" s="50" t="s">
        <v>221</v>
      </c>
      <c r="B26" s="50" t="s">
        <v>63</v>
      </c>
      <c r="C26" s="51">
        <v>2.99</v>
      </c>
      <c r="E26" s="52" t="s">
        <v>64</v>
      </c>
    </row>
    <row r="27" spans="1:5" s="50" customFormat="1" ht="15">
      <c r="A27" s="53" t="s">
        <v>222</v>
      </c>
      <c r="B27" s="53" t="s">
        <v>65</v>
      </c>
      <c r="C27" s="27">
        <f>C14*C26</f>
        <v>747.5</v>
      </c>
      <c r="E27" s="52" t="s">
        <v>66</v>
      </c>
    </row>
    <row r="29" spans="1:3" ht="15">
      <c r="A29" t="s">
        <v>67</v>
      </c>
      <c r="C29" s="36">
        <f>C14</f>
        <v>250</v>
      </c>
    </row>
    <row r="30" spans="1:3" ht="15">
      <c r="A30" t="s">
        <v>68</v>
      </c>
      <c r="B30" t="s">
        <v>69</v>
      </c>
      <c r="C30" s="33">
        <v>0.18</v>
      </c>
    </row>
    <row r="31" spans="1:3" ht="15">
      <c r="A31" t="s">
        <v>70</v>
      </c>
      <c r="B31" t="s">
        <v>71</v>
      </c>
      <c r="C31" s="39">
        <f>'Introdução e Resumo'!C13/Emprego!C23</f>
        <v>0.13333333333333333</v>
      </c>
    </row>
    <row r="32" spans="1:3" ht="15">
      <c r="A32" s="27" t="s">
        <v>72</v>
      </c>
      <c r="B32" s="27" t="s">
        <v>73</v>
      </c>
      <c r="C32" s="28">
        <f>C29*(C30+C31)</f>
        <v>78.33333333333334</v>
      </c>
    </row>
    <row r="34" spans="1:3" ht="15">
      <c r="A34" t="s">
        <v>223</v>
      </c>
      <c r="B34" s="32" t="s">
        <v>74</v>
      </c>
      <c r="C34" s="58">
        <f>'Introdução e Resumo'!C13/Emprego!C28</f>
        <v>0.5</v>
      </c>
    </row>
    <row r="35" spans="1:3" ht="30">
      <c r="A35" s="41" t="s">
        <v>75</v>
      </c>
      <c r="B35" s="32" t="s">
        <v>76</v>
      </c>
      <c r="C35" s="39">
        <f>Emprego!C45/Emprego!C29</f>
        <v>0.546875</v>
      </c>
    </row>
    <row r="36" spans="1:3" ht="15">
      <c r="A36" s="27" t="s">
        <v>77</v>
      </c>
      <c r="B36" s="27" t="s">
        <v>78</v>
      </c>
      <c r="C36" s="38">
        <f>(C34+C35)*C14</f>
        <v>261.71875</v>
      </c>
    </row>
    <row r="38" spans="1:13" ht="15">
      <c r="A38" t="s">
        <v>79</v>
      </c>
      <c r="B38" t="s">
        <v>80</v>
      </c>
      <c r="C38" s="30">
        <v>60</v>
      </c>
      <c r="E38" s="42" t="s">
        <v>224</v>
      </c>
      <c r="F38" s="22"/>
      <c r="G38" s="22"/>
      <c r="H38" s="22"/>
      <c r="I38" s="22"/>
      <c r="J38" s="22"/>
      <c r="K38" s="22"/>
      <c r="L38" s="22"/>
      <c r="M38" s="22"/>
    </row>
    <row r="39" spans="1:3" ht="15">
      <c r="A39" s="22" t="s">
        <v>81</v>
      </c>
      <c r="B39" s="32" t="s">
        <v>82</v>
      </c>
      <c r="C39" s="30">
        <v>0.01</v>
      </c>
    </row>
    <row r="40" spans="1:3" ht="15">
      <c r="A40" s="43" t="s">
        <v>83</v>
      </c>
      <c r="B40" s="27" t="s">
        <v>84</v>
      </c>
      <c r="C40" s="27">
        <f>C39*(C38*C14)</f>
        <v>150</v>
      </c>
    </row>
    <row r="41" ht="15">
      <c r="A41" s="22"/>
    </row>
    <row r="42" spans="1:3" ht="15">
      <c r="A42" s="43" t="s">
        <v>85</v>
      </c>
      <c r="B42" s="43"/>
      <c r="C42" s="43">
        <f>(C14/Emprego!C35)*'Introdução e Resumo'!C13</f>
        <v>50</v>
      </c>
    </row>
    <row r="44" spans="1:3" ht="15">
      <c r="A44" t="s">
        <v>201</v>
      </c>
      <c r="B44" t="s">
        <v>199</v>
      </c>
      <c r="C44" s="30">
        <v>0.3</v>
      </c>
    </row>
    <row r="45" spans="1:3" ht="15">
      <c r="A45" s="27" t="s">
        <v>202</v>
      </c>
      <c r="B45" s="27" t="s">
        <v>199</v>
      </c>
      <c r="C45" s="27">
        <f>C16*C44</f>
        <v>150</v>
      </c>
    </row>
    <row r="47" spans="1:11" ht="15">
      <c r="A47" s="27" t="s">
        <v>87</v>
      </c>
      <c r="B47" s="32" t="s">
        <v>86</v>
      </c>
      <c r="C47" s="66">
        <f>('Fluxograma de Gestão'!E28+'Fluxograma de Gestão'!H28)/'Fluxograma de Gestão'!C7</f>
        <v>72.128</v>
      </c>
      <c r="E47" s="19" t="s">
        <v>205</v>
      </c>
      <c r="F47" s="22"/>
      <c r="G47" s="22"/>
      <c r="H47" s="22"/>
      <c r="I47" s="22"/>
      <c r="J47" s="22"/>
      <c r="K47" s="22"/>
    </row>
    <row r="48" spans="1:3" ht="15">
      <c r="A48" s="27"/>
      <c r="B48" s="27"/>
      <c r="C48" s="28"/>
    </row>
    <row r="49" spans="1:3" ht="15">
      <c r="A49" t="s">
        <v>203</v>
      </c>
      <c r="B49" t="s">
        <v>200</v>
      </c>
      <c r="C49" s="35">
        <v>0.02</v>
      </c>
    </row>
    <row r="50" spans="1:3" ht="15">
      <c r="A50" t="s">
        <v>204</v>
      </c>
      <c r="B50" s="27" t="s">
        <v>199</v>
      </c>
      <c r="C50" s="46">
        <f>C49*(C47+C45+C42+C40+C36+C32+C27+C20+C12)</f>
        <v>33.33360166666667</v>
      </c>
    </row>
    <row r="51" ht="15">
      <c r="E51" s="28"/>
    </row>
    <row r="52" spans="1:3" ht="15">
      <c r="A52" t="s">
        <v>88</v>
      </c>
      <c r="B52" t="s">
        <v>89</v>
      </c>
      <c r="C52" s="35">
        <v>0.15</v>
      </c>
    </row>
    <row r="53" spans="1:3" ht="15">
      <c r="A53" s="27" t="s">
        <v>90</v>
      </c>
      <c r="B53" s="27" t="s">
        <v>91</v>
      </c>
      <c r="C53" s="28">
        <f>C52*(C47+C45+C42+C40+C36+C32+C27+C20+C12)</f>
        <v>250.00201249999998</v>
      </c>
    </row>
    <row r="55" spans="1:3" ht="15">
      <c r="A55" s="60" t="s">
        <v>92</v>
      </c>
      <c r="B55" s="60" t="s">
        <v>93</v>
      </c>
      <c r="C55" s="79">
        <f>C12+C20+C27+C32+C36+C40+C42+C45+C47+C50+C53</f>
        <v>1950.0156975</v>
      </c>
    </row>
    <row r="56" spans="1:3" ht="15">
      <c r="A56" s="67"/>
      <c r="B56" s="60" t="s">
        <v>94</v>
      </c>
      <c r="C56" s="68">
        <f>C55/C16</f>
        <v>3.900031395</v>
      </c>
    </row>
  </sheetData>
  <sheetProtection selectLockedCells="1" selectUnlockedCells="1"/>
  <dataValidations count="1">
    <dataValidation type="list" allowBlank="1" showErrorMessage="1" sqref="C15 C17">
      <formula1>$M$17:$N$17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4.7109375" style="0" customWidth="1"/>
    <col min="2" max="2" width="13.8515625" style="0" customWidth="1"/>
    <col min="3" max="3" width="16.140625" style="0" customWidth="1"/>
    <col min="4" max="4" width="3.7109375" style="0" customWidth="1"/>
    <col min="10" max="10" width="10.00390625" style="0" customWidth="1"/>
  </cols>
  <sheetData>
    <row r="1" spans="1:5" s="16" customFormat="1" ht="27" customHeight="1">
      <c r="A1" s="15" t="s">
        <v>95</v>
      </c>
      <c r="B1" s="15"/>
      <c r="C1" s="15"/>
      <c r="D1" s="20"/>
      <c r="E1" s="20"/>
    </row>
    <row r="2" spans="1:5" s="16" customFormat="1" ht="15">
      <c r="A2" s="15" t="s">
        <v>96</v>
      </c>
      <c r="B2" s="15"/>
      <c r="C2" s="15"/>
      <c r="D2" s="20"/>
      <c r="E2" s="20"/>
    </row>
    <row r="4" spans="1:3" ht="15">
      <c r="A4" s="22" t="s">
        <v>97</v>
      </c>
      <c r="B4" s="22"/>
      <c r="C4" s="22"/>
    </row>
    <row r="6" spans="1:3" ht="15">
      <c r="A6" s="24" t="s">
        <v>98</v>
      </c>
      <c r="B6" s="25" t="s">
        <v>99</v>
      </c>
      <c r="C6" s="26" t="s">
        <v>100</v>
      </c>
    </row>
    <row r="8" spans="1:3" ht="15">
      <c r="A8" t="s">
        <v>101</v>
      </c>
      <c r="B8" t="s">
        <v>102</v>
      </c>
      <c r="C8" s="74">
        <v>2000000000</v>
      </c>
    </row>
    <row r="9" spans="1:3" ht="15">
      <c r="A9" t="s">
        <v>103</v>
      </c>
      <c r="B9" t="s">
        <v>104</v>
      </c>
      <c r="C9">
        <v>60</v>
      </c>
    </row>
    <row r="11" spans="1:3" ht="15">
      <c r="A11" t="s">
        <v>105</v>
      </c>
      <c r="B11" t="s">
        <v>106</v>
      </c>
      <c r="C11" s="21">
        <f>C8/C9</f>
        <v>33333333.333333332</v>
      </c>
    </row>
    <row r="12" spans="1:3" ht="15">
      <c r="A12" t="s">
        <v>107</v>
      </c>
      <c r="B12" t="s">
        <v>108</v>
      </c>
      <c r="C12" s="21">
        <f>'Introdução e Resumo'!C15</f>
        <v>46</v>
      </c>
    </row>
    <row r="13" spans="1:3" ht="15">
      <c r="A13" t="s">
        <v>109</v>
      </c>
      <c r="B13" t="s">
        <v>110</v>
      </c>
      <c r="C13" s="44">
        <f>C11/C12</f>
        <v>724637.6811594203</v>
      </c>
    </row>
    <row r="15" spans="1:3" ht="15">
      <c r="A15" t="s">
        <v>111</v>
      </c>
      <c r="C15" s="44">
        <f>C13*'Custos de Plantio e Informações'!C14</f>
        <v>181159420.28985506</v>
      </c>
    </row>
    <row r="16" spans="1:3" ht="15">
      <c r="A16" t="s">
        <v>112</v>
      </c>
      <c r="C16" s="44">
        <f>C13*'Custos de Plantio e Informações'!C16</f>
        <v>362318840.5797101</v>
      </c>
    </row>
    <row r="18" spans="1:3" ht="15">
      <c r="A18" t="s">
        <v>113</v>
      </c>
      <c r="B18" t="s">
        <v>114</v>
      </c>
      <c r="C18" s="30">
        <v>5</v>
      </c>
    </row>
    <row r="19" spans="1:3" ht="15">
      <c r="A19" t="s">
        <v>115</v>
      </c>
      <c r="B19" t="s">
        <v>116</v>
      </c>
      <c r="C19" s="30">
        <v>8</v>
      </c>
    </row>
    <row r="20" spans="1:3" ht="15">
      <c r="A20" t="s">
        <v>117</v>
      </c>
      <c r="C20" s="44">
        <f>C15/C18</f>
        <v>36231884.057971016</v>
      </c>
    </row>
    <row r="22" spans="1:3" ht="15">
      <c r="A22" t="s">
        <v>118</v>
      </c>
      <c r="B22" t="s">
        <v>119</v>
      </c>
      <c r="C22" s="30">
        <v>12</v>
      </c>
    </row>
    <row r="23" spans="1:3" ht="15">
      <c r="A23" t="s">
        <v>120</v>
      </c>
      <c r="C23" s="30">
        <v>30</v>
      </c>
    </row>
    <row r="24" spans="1:3" ht="15">
      <c r="A24" t="s">
        <v>121</v>
      </c>
      <c r="C24" s="36">
        <f>C22*C23</f>
        <v>360</v>
      </c>
    </row>
    <row r="25" spans="1:3" ht="15">
      <c r="A25" t="s">
        <v>122</v>
      </c>
      <c r="C25" s="44">
        <f>ROUND(C20/C24,0)</f>
        <v>100644</v>
      </c>
    </row>
    <row r="26" spans="1:11" ht="15">
      <c r="A26" s="27" t="s">
        <v>123</v>
      </c>
      <c r="B26" s="27"/>
      <c r="C26" s="28">
        <f>ROUND(C25*C22/C19,0)</f>
        <v>150966</v>
      </c>
      <c r="K26" s="45"/>
    </row>
    <row r="28" spans="1:3" ht="15">
      <c r="A28" s="22" t="s">
        <v>124</v>
      </c>
      <c r="C28" s="30">
        <v>8</v>
      </c>
    </row>
    <row r="29" spans="1:7" ht="15">
      <c r="A29" s="22" t="s">
        <v>125</v>
      </c>
      <c r="C29" s="36">
        <f>C19*C28</f>
        <v>64</v>
      </c>
      <c r="G29" s="44"/>
    </row>
    <row r="30" spans="1:3" ht="15">
      <c r="A30" s="43" t="s">
        <v>126</v>
      </c>
      <c r="B30" s="27"/>
      <c r="C30" s="28">
        <f>ROUND(C20/C29,0)</f>
        <v>566123</v>
      </c>
    </row>
    <row r="31" ht="15">
      <c r="A31" s="22"/>
    </row>
    <row r="32" spans="1:3" ht="15">
      <c r="A32" s="22" t="s">
        <v>127</v>
      </c>
      <c r="C32" s="30">
        <v>100</v>
      </c>
    </row>
    <row r="33" spans="1:3" ht="15">
      <c r="A33" s="43" t="s">
        <v>128</v>
      </c>
      <c r="B33" s="27"/>
      <c r="C33" s="28">
        <f>((C15/C18)/C32)/C19</f>
        <v>45289.85507246377</v>
      </c>
    </row>
    <row r="34" spans="1:3" ht="15">
      <c r="A34" s="43"/>
      <c r="B34" s="27"/>
      <c r="C34" s="28"/>
    </row>
    <row r="35" spans="1:16" ht="15">
      <c r="A35" s="22" t="s">
        <v>129</v>
      </c>
      <c r="B35" s="32"/>
      <c r="C35" s="30">
        <v>20</v>
      </c>
      <c r="E35" s="42" t="s">
        <v>130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3" ht="15">
      <c r="A36" s="43" t="s">
        <v>131</v>
      </c>
      <c r="B36" s="27"/>
      <c r="C36" s="28">
        <f>((C15/C18)/C35)/C19</f>
        <v>226449.27536231885</v>
      </c>
    </row>
    <row r="37" ht="15">
      <c r="A37" s="22"/>
    </row>
    <row r="38" spans="1:3" ht="15">
      <c r="A38" s="22" t="s">
        <v>132</v>
      </c>
      <c r="B38" t="s">
        <v>133</v>
      </c>
      <c r="C38" s="30">
        <v>8</v>
      </c>
    </row>
    <row r="39" spans="1:3" ht="15">
      <c r="A39" s="22" t="s">
        <v>134</v>
      </c>
      <c r="B39" t="s">
        <v>135</v>
      </c>
      <c r="C39" s="44">
        <f>C13/C18</f>
        <v>144927.53623188406</v>
      </c>
    </row>
    <row r="40" spans="1:3" ht="15">
      <c r="A40" s="43" t="s">
        <v>136</v>
      </c>
      <c r="C40" s="28">
        <f>(C39*C38)/C19</f>
        <v>144927.53623188406</v>
      </c>
    </row>
    <row r="41" ht="15">
      <c r="A41" s="22"/>
    </row>
    <row r="42" spans="1:3" ht="15">
      <c r="A42" s="22" t="s">
        <v>137</v>
      </c>
      <c r="B42" t="s">
        <v>138</v>
      </c>
      <c r="C42" s="35">
        <v>0.15</v>
      </c>
    </row>
    <row r="43" spans="1:3" ht="15">
      <c r="A43" s="43" t="s">
        <v>139</v>
      </c>
      <c r="B43" s="27"/>
      <c r="C43" s="46">
        <f>ROUND(C42*(C40+C36+C33+C30+C26),0)</f>
        <v>170063</v>
      </c>
    </row>
    <row r="44" ht="15">
      <c r="A44" s="22"/>
    </row>
    <row r="45" spans="1:3" ht="15">
      <c r="A45" s="43" t="s">
        <v>140</v>
      </c>
      <c r="C45" s="30">
        <v>35</v>
      </c>
    </row>
    <row r="47" spans="1:3" ht="15">
      <c r="A47" s="27" t="s">
        <v>141</v>
      </c>
      <c r="B47" s="27"/>
      <c r="C47" s="59">
        <f>'Fluxograma de Gestão'!C28*'Introdução e Resumo'!C11/'Fluxograma de Gestão'!C7</f>
        <v>5800000</v>
      </c>
    </row>
    <row r="49" spans="1:3" ht="15">
      <c r="A49" s="60" t="s">
        <v>142</v>
      </c>
      <c r="B49" s="60"/>
      <c r="C49" s="61">
        <f>C47+C43+C40+C36+C33+C30+C26</f>
        <v>7103818.666666667</v>
      </c>
    </row>
    <row r="52" spans="3:6" ht="15">
      <c r="C52" s="21"/>
      <c r="F52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421875" style="0" customWidth="1"/>
    <col min="2" max="2" width="17.57421875" style="0" customWidth="1"/>
    <col min="3" max="3" width="13.421875" style="0" customWidth="1"/>
    <col min="4" max="4" width="4.57421875" style="0" customWidth="1"/>
  </cols>
  <sheetData>
    <row r="1" spans="1:5" s="16" customFormat="1" ht="27" customHeight="1">
      <c r="A1" s="15" t="s">
        <v>143</v>
      </c>
      <c r="B1" s="15"/>
      <c r="C1" s="15"/>
      <c r="D1" s="20"/>
      <c r="E1" s="20"/>
    </row>
    <row r="2" spans="1:5" s="16" customFormat="1" ht="15">
      <c r="A2" s="15" t="s">
        <v>144</v>
      </c>
      <c r="B2" s="15"/>
      <c r="C2" s="15"/>
      <c r="D2" s="20"/>
      <c r="E2" s="20"/>
    </row>
    <row r="4" ht="15">
      <c r="A4" t="s">
        <v>145</v>
      </c>
    </row>
    <row r="6" spans="1:3" ht="15">
      <c r="A6" s="24" t="s">
        <v>146</v>
      </c>
      <c r="B6" s="25" t="s">
        <v>147</v>
      </c>
      <c r="C6" s="26" t="s">
        <v>148</v>
      </c>
    </row>
    <row r="8" spans="1:3" ht="15">
      <c r="A8" t="s">
        <v>227</v>
      </c>
      <c r="B8" t="s">
        <v>149</v>
      </c>
      <c r="C8" s="30">
        <v>52</v>
      </c>
    </row>
    <row r="10" spans="1:3" ht="15">
      <c r="A10" t="s">
        <v>150</v>
      </c>
      <c r="B10" t="s">
        <v>151</v>
      </c>
      <c r="C10" s="30">
        <v>400</v>
      </c>
    </row>
    <row r="11" spans="1:3" ht="15">
      <c r="A11" t="s">
        <v>152</v>
      </c>
      <c r="B11" t="s">
        <v>153</v>
      </c>
      <c r="C11" s="62">
        <v>200</v>
      </c>
    </row>
    <row r="13" spans="1:3" ht="15">
      <c r="A13" t="s">
        <v>154</v>
      </c>
      <c r="B13" s="47">
        <v>0.5</v>
      </c>
      <c r="C13" s="40">
        <f>C8*B13</f>
        <v>26</v>
      </c>
    </row>
    <row r="16" spans="1:3" ht="15">
      <c r="A16" t="s">
        <v>155</v>
      </c>
      <c r="C16" s="36">
        <f>Emprego!C16</f>
        <v>362318840.5797101</v>
      </c>
    </row>
    <row r="17" spans="1:3" ht="15">
      <c r="A17" t="s">
        <v>156</v>
      </c>
      <c r="B17" s="35">
        <v>0.1</v>
      </c>
      <c r="C17" s="44">
        <f>C16*B17</f>
        <v>36231884.057971016</v>
      </c>
    </row>
    <row r="18" spans="1:3" ht="15">
      <c r="A18" t="s">
        <v>157</v>
      </c>
      <c r="C18" s="44">
        <f>C16+C17</f>
        <v>398550724.6376811</v>
      </c>
    </row>
    <row r="20" spans="1:3" ht="15">
      <c r="A20" t="s">
        <v>158</v>
      </c>
      <c r="B20" t="s">
        <v>159</v>
      </c>
      <c r="C20" s="44">
        <f>C18/C10</f>
        <v>996376.8115942028</v>
      </c>
    </row>
    <row r="21" spans="1:3" ht="15">
      <c r="A21" t="s">
        <v>160</v>
      </c>
      <c r="B21" t="s">
        <v>161</v>
      </c>
      <c r="C21" s="48">
        <f>C20*C13</f>
        <v>25905797.101449274</v>
      </c>
    </row>
    <row r="23" spans="1:3" ht="15">
      <c r="A23" t="s">
        <v>162</v>
      </c>
      <c r="B23" t="s">
        <v>163</v>
      </c>
      <c r="C23" s="44">
        <f>C18/C11</f>
        <v>1992753.6231884055</v>
      </c>
    </row>
    <row r="24" spans="1:3" ht="15">
      <c r="A24" t="s">
        <v>164</v>
      </c>
      <c r="B24" t="s">
        <v>165</v>
      </c>
      <c r="C24" s="48">
        <f>(C8-C13)*C23</f>
        <v>51811594.20289855</v>
      </c>
    </row>
    <row r="26" spans="1:3" ht="15">
      <c r="A26" t="s">
        <v>166</v>
      </c>
      <c r="B26" t="s">
        <v>167</v>
      </c>
      <c r="C26" s="36">
        <f>C24+C21</f>
        <v>77717391.30434781</v>
      </c>
    </row>
    <row r="27" spans="1:3" ht="15">
      <c r="A27" t="s">
        <v>168</v>
      </c>
      <c r="B27" s="72">
        <v>0.15</v>
      </c>
      <c r="C27" s="36">
        <f>C26*B27</f>
        <v>11657608.695652172</v>
      </c>
    </row>
    <row r="28" spans="2:3" ht="15">
      <c r="B28" s="45"/>
      <c r="C28" s="36"/>
    </row>
    <row r="29" spans="1:5" ht="15">
      <c r="A29" s="60" t="s">
        <v>169</v>
      </c>
      <c r="B29" s="63" t="s">
        <v>170</v>
      </c>
      <c r="C29" s="64">
        <f>SUM(C26:C27)</f>
        <v>89374999.99999999</v>
      </c>
      <c r="E29" s="19" t="s">
        <v>212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66.28125" style="0" customWidth="1"/>
    <col min="3" max="3" width="9.28125" style="0" bestFit="1" customWidth="1"/>
    <col min="4" max="4" width="12.140625" style="0" customWidth="1"/>
    <col min="5" max="5" width="11.57421875" style="0" bestFit="1" customWidth="1"/>
    <col min="6" max="6" width="9.28125" style="0" bestFit="1" customWidth="1"/>
    <col min="7" max="7" width="10.140625" style="0" customWidth="1"/>
    <col min="8" max="8" width="11.57421875" style="0" bestFit="1" customWidth="1"/>
  </cols>
  <sheetData>
    <row r="1" spans="1:8" ht="27" customHeight="1">
      <c r="A1" s="49" t="s">
        <v>171</v>
      </c>
      <c r="B1" s="49"/>
      <c r="C1" s="49"/>
      <c r="D1" s="49"/>
      <c r="E1" s="49"/>
      <c r="F1" s="49"/>
      <c r="G1" s="49"/>
      <c r="H1" s="49"/>
    </row>
    <row r="2" spans="1:8" ht="14.25" customHeight="1">
      <c r="A2" s="15"/>
      <c r="B2" s="15"/>
      <c r="C2" s="15"/>
      <c r="D2" s="15"/>
      <c r="E2" s="15"/>
      <c r="F2" s="15"/>
      <c r="G2" s="15"/>
      <c r="H2" s="49"/>
    </row>
    <row r="4" ht="15">
      <c r="B4" t="s">
        <v>172</v>
      </c>
    </row>
    <row r="5" spans="2:3" ht="15">
      <c r="B5" t="s">
        <v>173</v>
      </c>
      <c r="C5" s="75"/>
    </row>
    <row r="6" ht="15.75" thickBot="1">
      <c r="C6" s="54"/>
    </row>
    <row r="7" spans="2:3" ht="15.75" thickBot="1">
      <c r="B7" t="s">
        <v>211</v>
      </c>
      <c r="C7" s="73">
        <v>10000</v>
      </c>
    </row>
    <row r="9" spans="2:8" ht="15">
      <c r="B9" s="24" t="s">
        <v>174</v>
      </c>
      <c r="C9" s="24" t="s">
        <v>175</v>
      </c>
      <c r="D9" s="24" t="s">
        <v>176</v>
      </c>
      <c r="E9" s="24" t="s">
        <v>177</v>
      </c>
      <c r="F9" s="24"/>
      <c r="G9" s="24" t="s">
        <v>178</v>
      </c>
      <c r="H9" s="24" t="s">
        <v>179</v>
      </c>
    </row>
    <row r="10" spans="2:8" ht="15">
      <c r="B10" t="s">
        <v>180</v>
      </c>
      <c r="C10" s="76">
        <v>1</v>
      </c>
      <c r="D10" s="76">
        <v>52000</v>
      </c>
      <c r="E10" s="74">
        <f>C10*D10</f>
        <v>52000</v>
      </c>
      <c r="F10" s="76">
        <v>1</v>
      </c>
      <c r="G10" s="76">
        <v>16000</v>
      </c>
      <c r="H10" s="74">
        <f>F10*G10</f>
        <v>16000</v>
      </c>
    </row>
    <row r="11" spans="2:8" ht="15">
      <c r="B11" t="s">
        <v>181</v>
      </c>
      <c r="C11" s="76">
        <v>1</v>
      </c>
      <c r="D11" s="76">
        <v>52000</v>
      </c>
      <c r="E11" s="74">
        <f aca="true" t="shared" si="0" ref="E11:E25">C11*D11</f>
        <v>52000</v>
      </c>
      <c r="F11" s="76">
        <v>1</v>
      </c>
      <c r="G11" s="76">
        <v>16000</v>
      </c>
      <c r="H11" s="74">
        <f aca="true" t="shared" si="1" ref="H11:H25">F11*G11</f>
        <v>16000</v>
      </c>
    </row>
    <row r="12" spans="2:8" ht="15">
      <c r="B12" t="s">
        <v>182</v>
      </c>
      <c r="C12" s="78">
        <v>0</v>
      </c>
      <c r="D12" s="76">
        <v>52000</v>
      </c>
      <c r="E12" s="74">
        <f t="shared" si="0"/>
        <v>0</v>
      </c>
      <c r="F12" s="78">
        <v>0</v>
      </c>
      <c r="G12" s="76">
        <v>16000</v>
      </c>
      <c r="H12" s="74">
        <f t="shared" si="1"/>
        <v>0</v>
      </c>
    </row>
    <row r="13" spans="2:8" ht="15">
      <c r="B13" t="s">
        <v>183</v>
      </c>
      <c r="C13" s="76">
        <v>1</v>
      </c>
      <c r="D13" s="76">
        <v>30000</v>
      </c>
      <c r="E13" s="74">
        <f t="shared" si="0"/>
        <v>30000</v>
      </c>
      <c r="F13" s="76">
        <v>1</v>
      </c>
      <c r="G13" s="76">
        <v>16000</v>
      </c>
      <c r="H13" s="74">
        <f t="shared" si="1"/>
        <v>16000</v>
      </c>
    </row>
    <row r="14" spans="2:8" ht="15">
      <c r="B14" t="s">
        <v>184</v>
      </c>
      <c r="C14" s="76">
        <v>1</v>
      </c>
      <c r="D14" s="76">
        <v>26000</v>
      </c>
      <c r="E14" s="74">
        <f t="shared" si="0"/>
        <v>26000</v>
      </c>
      <c r="F14" s="76">
        <v>1</v>
      </c>
      <c r="G14" s="76">
        <v>9000</v>
      </c>
      <c r="H14" s="74">
        <f t="shared" si="1"/>
        <v>9000</v>
      </c>
    </row>
    <row r="15" spans="2:8" ht="15">
      <c r="B15" t="s">
        <v>185</v>
      </c>
      <c r="C15" s="76">
        <v>1</v>
      </c>
      <c r="D15" s="76">
        <v>26000</v>
      </c>
      <c r="E15" s="74">
        <f t="shared" si="0"/>
        <v>26000</v>
      </c>
      <c r="F15" s="76">
        <v>1</v>
      </c>
      <c r="G15" s="76">
        <v>9000</v>
      </c>
      <c r="H15" s="74">
        <f t="shared" si="1"/>
        <v>9000</v>
      </c>
    </row>
    <row r="16" spans="2:8" ht="15">
      <c r="B16" t="s">
        <v>186</v>
      </c>
      <c r="C16" s="76">
        <v>1</v>
      </c>
      <c r="D16" s="76">
        <v>26000</v>
      </c>
      <c r="E16" s="74">
        <f t="shared" si="0"/>
        <v>26000</v>
      </c>
      <c r="F16" s="78">
        <v>0</v>
      </c>
      <c r="G16" s="76">
        <v>9000</v>
      </c>
      <c r="H16" s="74">
        <f t="shared" si="1"/>
        <v>0</v>
      </c>
    </row>
    <row r="17" spans="2:8" ht="15">
      <c r="B17" t="s">
        <v>187</v>
      </c>
      <c r="C17" s="76">
        <v>1</v>
      </c>
      <c r="D17" s="76">
        <v>52000</v>
      </c>
      <c r="E17" s="74">
        <f t="shared" si="0"/>
        <v>52000</v>
      </c>
      <c r="F17" s="76">
        <v>1</v>
      </c>
      <c r="G17" s="76">
        <v>9000</v>
      </c>
      <c r="H17" s="74">
        <f t="shared" si="1"/>
        <v>9000</v>
      </c>
    </row>
    <row r="18" spans="2:8" ht="15">
      <c r="B18" t="s">
        <v>188</v>
      </c>
      <c r="C18" s="76">
        <v>1</v>
      </c>
      <c r="D18" s="76">
        <v>52000</v>
      </c>
      <c r="E18" s="74">
        <f t="shared" si="0"/>
        <v>52000</v>
      </c>
      <c r="F18" s="76">
        <v>1</v>
      </c>
      <c r="G18" s="76">
        <v>9000</v>
      </c>
      <c r="H18" s="74">
        <f t="shared" si="1"/>
        <v>9000</v>
      </c>
    </row>
    <row r="19" spans="2:8" ht="15">
      <c r="B19" t="s">
        <v>189</v>
      </c>
      <c r="C19" s="76">
        <v>1</v>
      </c>
      <c r="D19" s="76">
        <v>26000</v>
      </c>
      <c r="E19" s="74">
        <f t="shared" si="0"/>
        <v>26000</v>
      </c>
      <c r="F19" s="76">
        <v>1</v>
      </c>
      <c r="G19" s="76">
        <v>9000</v>
      </c>
      <c r="H19" s="74">
        <f t="shared" si="1"/>
        <v>9000</v>
      </c>
    </row>
    <row r="20" spans="2:8" ht="15">
      <c r="B20" t="s">
        <v>190</v>
      </c>
      <c r="C20" s="76">
        <v>1</v>
      </c>
      <c r="D20" s="76">
        <v>26000</v>
      </c>
      <c r="E20" s="74">
        <f t="shared" si="0"/>
        <v>26000</v>
      </c>
      <c r="F20" s="76">
        <v>1</v>
      </c>
      <c r="G20" s="76">
        <v>9000</v>
      </c>
      <c r="H20" s="74">
        <f t="shared" si="1"/>
        <v>9000</v>
      </c>
    </row>
    <row r="21" spans="2:8" ht="15">
      <c r="B21" t="s">
        <v>191</v>
      </c>
      <c r="C21" s="76">
        <v>1</v>
      </c>
      <c r="D21" s="76">
        <v>26000</v>
      </c>
      <c r="E21" s="74">
        <f t="shared" si="0"/>
        <v>26000</v>
      </c>
      <c r="F21" s="76">
        <v>1</v>
      </c>
      <c r="G21" s="76">
        <v>9000</v>
      </c>
      <c r="H21" s="74">
        <f t="shared" si="1"/>
        <v>9000</v>
      </c>
    </row>
    <row r="22" spans="2:8" ht="15">
      <c r="B22" t="s">
        <v>192</v>
      </c>
      <c r="C22" s="76">
        <v>1</v>
      </c>
      <c r="D22" s="76">
        <v>26000</v>
      </c>
      <c r="E22" s="74">
        <f t="shared" si="0"/>
        <v>26000</v>
      </c>
      <c r="F22" s="76">
        <v>1</v>
      </c>
      <c r="G22" s="76">
        <v>9000</v>
      </c>
      <c r="H22" s="74">
        <f t="shared" si="1"/>
        <v>9000</v>
      </c>
    </row>
    <row r="23" spans="2:8" ht="15">
      <c r="B23" t="s">
        <v>193</v>
      </c>
      <c r="C23" s="76">
        <v>1</v>
      </c>
      <c r="D23" s="76">
        <v>26000</v>
      </c>
      <c r="E23" s="74">
        <f t="shared" si="0"/>
        <v>26000</v>
      </c>
      <c r="F23" s="78">
        <v>0</v>
      </c>
      <c r="G23" s="76">
        <v>9000</v>
      </c>
      <c r="H23" s="74">
        <f t="shared" si="1"/>
        <v>0</v>
      </c>
    </row>
    <row r="24" spans="2:8" ht="15">
      <c r="B24" t="s">
        <v>194</v>
      </c>
      <c r="C24" s="78">
        <v>0</v>
      </c>
      <c r="D24" s="76">
        <v>52000</v>
      </c>
      <c r="E24" s="74">
        <f t="shared" si="0"/>
        <v>0</v>
      </c>
      <c r="F24" s="78">
        <v>0</v>
      </c>
      <c r="G24" s="76">
        <v>9000</v>
      </c>
      <c r="H24" s="74">
        <f t="shared" si="1"/>
        <v>0</v>
      </c>
    </row>
    <row r="25" spans="2:8" ht="15">
      <c r="B25" t="s">
        <v>195</v>
      </c>
      <c r="C25" s="76">
        <v>3</v>
      </c>
      <c r="D25" s="76">
        <v>14400</v>
      </c>
      <c r="E25" s="74">
        <f t="shared" si="0"/>
        <v>43200</v>
      </c>
      <c r="F25" s="76">
        <v>2</v>
      </c>
      <c r="G25" s="76">
        <v>9000</v>
      </c>
      <c r="H25" s="74">
        <f t="shared" si="1"/>
        <v>18000</v>
      </c>
    </row>
    <row r="26" spans="2:8" ht="15">
      <c r="B26" t="s">
        <v>196</v>
      </c>
      <c r="C26" s="74">
        <f>SUM(C10:C25)</f>
        <v>16</v>
      </c>
      <c r="D26" s="74"/>
      <c r="E26" s="74">
        <f>SUM(E10:E25)</f>
        <v>489200</v>
      </c>
      <c r="F26" s="74">
        <f>SUM(F10:F25)</f>
        <v>13</v>
      </c>
      <c r="G26" s="74"/>
      <c r="H26" s="74">
        <f>SUM(H10:H25)</f>
        <v>138000</v>
      </c>
    </row>
    <row r="27" spans="2:8" ht="15">
      <c r="B27" t="s">
        <v>197</v>
      </c>
      <c r="C27" s="35">
        <v>0.15</v>
      </c>
      <c r="D27" s="22"/>
      <c r="E27" s="21">
        <f>E26*C27</f>
        <v>73380</v>
      </c>
      <c r="F27" s="69">
        <v>0.15</v>
      </c>
      <c r="G27" s="22"/>
      <c r="H27" s="21">
        <f>H26*C27</f>
        <v>20700</v>
      </c>
    </row>
    <row r="28" spans="2:8" ht="15">
      <c r="B28" s="60" t="s">
        <v>198</v>
      </c>
      <c r="C28" s="55">
        <f>C26+F26</f>
        <v>29</v>
      </c>
      <c r="D28" s="63"/>
      <c r="E28" s="65">
        <f>SUM(E26:E27)</f>
        <v>562580</v>
      </c>
      <c r="F28" s="65"/>
      <c r="G28" s="63"/>
      <c r="H28" s="65">
        <f>SUM(H26:H27)</f>
        <v>158700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Celine</cp:lastModifiedBy>
  <dcterms:created xsi:type="dcterms:W3CDTF">2013-03-22T12:14:23Z</dcterms:created>
  <dcterms:modified xsi:type="dcterms:W3CDTF">2015-03-21T07:52:32Z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