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521" windowWidth="11475" windowHeight="9675" tabRatio="1000" activeTab="0"/>
  </bookViews>
  <sheets>
    <sheet name="Première page" sheetId="1" r:id="rId1"/>
    <sheet name="Introduction et chiffres clés" sheetId="2" r:id="rId2"/>
    <sheet name="Coûts de la plantation" sheetId="3" r:id="rId3"/>
    <sheet name="Emploi" sheetId="4" r:id="rId4"/>
    <sheet name="La pépinière" sheetId="5" r:id="rId5"/>
    <sheet name="Flux de processus de gestion" sheetId="6" r:id="rId6"/>
  </sheets>
  <definedNames>
    <definedName name="_xlnm.Print_Area" localSheetId="2">'Coûts de la plantation'!$A$1:$E$60</definedName>
    <definedName name="_xlnm.Print_Area" localSheetId="3">'Emploi'!$A$1:$F$56</definedName>
    <definedName name="_xlnm.Print_Area" localSheetId="0">'Première page'!$A$1:$A$29</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Ceci est basé sur un tracteur de 60 milles ou une machine de 40 milles creusant 1 trou à la fois, plus l'énergie, l'utilisant pendant 6 ans.</t>
        </r>
        <r>
          <rPr>
            <b/>
            <sz val="9"/>
            <color indexed="8"/>
            <rFont val="Tahoma"/>
            <family val="2"/>
          </rPr>
          <t xml:space="preserve"> </t>
        </r>
        <r>
          <rPr>
            <b/>
            <sz val="9"/>
            <color indexed="8"/>
            <rFont val="Tahoma"/>
            <family val="2"/>
          </rPr>
          <t>S'il s'agit d'une perceuse à 3-carottes de forage, le prix baisse de 6 cents excl. salaires</t>
        </r>
        <r>
          <rPr>
            <b/>
            <sz val="8"/>
            <rFont val="Tahoma"/>
            <family val="2"/>
          </rPr>
          <t xml:space="preserve">
</t>
        </r>
      </text>
    </comment>
    <comment ref="A31" authorId="0">
      <text>
        <r>
          <rPr>
            <b/>
            <sz val="9"/>
            <color indexed="8"/>
            <rFont val="Tahoma"/>
            <family val="2"/>
          </rPr>
          <t>Ceci est basé sur un tracteur avec une seule carotte de forage, avec 3 carottes de forage le prix baisse de 10 cents</t>
        </r>
        <r>
          <rPr>
            <b/>
            <sz val="9"/>
            <color indexed="8"/>
            <rFont val="Tahoma"/>
            <family val="2"/>
          </rPr>
          <t xml:space="preserve">
</t>
        </r>
      </text>
    </comment>
  </commentList>
</comments>
</file>

<file path=xl/sharedStrings.xml><?xml version="1.0" encoding="utf-8"?>
<sst xmlns="http://schemas.openxmlformats.org/spreadsheetml/2006/main" count="240" uniqueCount="184">
  <si>
    <r>
      <rPr>
        <sz val="9"/>
        <color indexed="8"/>
        <rFont val="Arial"/>
        <family val="2"/>
      </rPr>
      <t>Ce document est basé sur des hypothèses générales.</t>
    </r>
  </si>
  <si>
    <r>
      <rPr>
        <sz val="9"/>
        <color indexed="8"/>
        <rFont val="Arial"/>
        <family val="2"/>
      </rPr>
      <t>Modifiez les informations contenues dans le document, de sorte que les chiffres soient conformes à votre projet spécifique.</t>
    </r>
  </si>
  <si>
    <r>
      <rPr>
        <sz val="12"/>
        <color indexed="9"/>
        <rFont val="Calibri"/>
        <family val="2"/>
      </rPr>
      <t>Pieter Hoff</t>
    </r>
  </si>
  <si>
    <r>
      <rPr>
        <u val="single"/>
        <sz val="10"/>
        <color indexed="12"/>
        <rFont val="Arial"/>
        <family val="2"/>
      </rPr>
      <t>phoff@groasis.com</t>
    </r>
  </si>
  <si>
    <t xml:space="preserve">                                      </t>
  </si>
  <si>
    <r>
      <rPr>
        <b/>
        <u val="single"/>
        <sz val="11"/>
        <color indexed="8"/>
        <rFont val="Calibri"/>
        <family val="2"/>
      </rPr>
      <t>Présentation du projet :</t>
    </r>
  </si>
  <si>
    <r>
      <rPr>
        <sz val="11"/>
        <color indexed="8"/>
        <rFont val="Calibri"/>
        <family val="2"/>
      </rPr>
      <t>La Waterboxx Groasis est un appareil innovateur qui peut être réemployé pendant 10 ans, et qui permet de planter des plantes, des buissons et des arbres sur des terres en friche.</t>
    </r>
  </si>
  <si>
    <r>
      <rPr>
        <b/>
        <u val="single"/>
        <sz val="11"/>
        <color indexed="8"/>
        <rFont val="Calibri"/>
        <family val="2"/>
      </rPr>
      <t>Les chiffres clés du projet :</t>
    </r>
  </si>
  <si>
    <r>
      <rPr>
        <sz val="11"/>
        <color indexed="8"/>
        <rFont val="Calibri"/>
        <family val="2"/>
      </rPr>
      <t>SAISISSEZ L’ÉTENDUE DU PROJET</t>
    </r>
  </si>
  <si>
    <r>
      <rPr>
        <sz val="11"/>
        <color indexed="8"/>
        <rFont val="Calibri"/>
        <family val="2"/>
      </rPr>
      <t>hs</t>
    </r>
  </si>
  <si>
    <r>
      <rPr>
        <i/>
        <sz val="11"/>
        <color indexed="8"/>
        <rFont val="Calibri"/>
        <family val="2"/>
      </rPr>
      <t>Remarque: modifiez le n</t>
    </r>
    <r>
      <rPr>
        <i/>
        <sz val="11"/>
        <color indexed="8"/>
        <rFont val="Calibri"/>
        <family val="2"/>
      </rPr>
      <t>ombre d'hectares à la situation actuelle, le calcul sera automatiquement adapté</t>
    </r>
  </si>
  <si>
    <r>
      <rPr>
        <sz val="11"/>
        <color indexed="8"/>
        <rFont val="Calibri"/>
        <family val="2"/>
      </rPr>
      <t>SAISISSEZ LA DURÉE DU PROJET</t>
    </r>
  </si>
  <si>
    <r>
      <rPr>
        <i/>
        <sz val="11"/>
        <color indexed="8"/>
        <rFont val="Calibri"/>
        <family val="2"/>
      </rPr>
      <t>Remarque: modifiez la durée du projet à la situation actuelle, le calcul sera automatiquement adapté</t>
    </r>
  </si>
  <si>
    <r>
      <rPr>
        <sz val="11"/>
        <color indexed="8"/>
        <rFont val="Calibri"/>
        <family val="2"/>
      </rPr>
      <t>SAISISSEZ LE SALAIRE HORAIRE BRUT D'UN PLANTEUR</t>
    </r>
  </si>
  <si>
    <r>
      <rPr>
        <i/>
        <sz val="11"/>
        <color indexed="8"/>
        <rFont val="Calibri"/>
        <family val="2"/>
      </rPr>
      <t>Remarque: modifiez le salaire horaire à la situation actuelle, le calcul sera automatiquement adapté</t>
    </r>
  </si>
  <si>
    <r>
      <rPr>
        <sz val="11"/>
        <color indexed="8"/>
        <rFont val="Calibri"/>
        <family val="2"/>
      </rPr>
      <t>SAISISSEZ LE NOMBRE DE WATERBOXXES PAR HECTARE</t>
    </r>
  </si>
  <si>
    <r>
      <rPr>
        <i/>
        <sz val="11"/>
        <color indexed="8"/>
        <rFont val="Calibri"/>
        <family val="2"/>
      </rPr>
      <t>Remarque : vous pouvez planter deux arbres par boîte ; si vous voulez planter 600 arbres par hectare, vous avez donc seulement besoin de 300 Waterboxxes</t>
    </r>
  </si>
  <si>
    <r>
      <rPr>
        <sz val="11"/>
        <color indexed="8"/>
        <rFont val="Calibri"/>
        <family val="2"/>
      </rPr>
      <t>SAISISSEZ I LE NOMBRE DE SEMAINES QUE VOUS PLANTEZ PAR AN</t>
    </r>
  </si>
  <si>
    <r>
      <rPr>
        <sz val="11"/>
        <color indexed="8"/>
        <rFont val="Calibri"/>
        <family val="2"/>
      </rPr>
      <t>Vitesse du projet de plantation en ha par semaine</t>
    </r>
  </si>
  <si>
    <r>
      <rPr>
        <sz val="11"/>
        <color indexed="8"/>
        <rFont val="Calibri"/>
        <family val="2"/>
      </rPr>
      <t>ha/semaine</t>
    </r>
  </si>
  <si>
    <r>
      <rPr>
        <sz val="11"/>
        <color indexed="8"/>
        <rFont val="Calibri"/>
        <family val="2"/>
      </rPr>
      <t>Investissement annuel</t>
    </r>
  </si>
  <si>
    <r>
      <rPr>
        <sz val="11"/>
        <color indexed="8"/>
        <rFont val="Calibri"/>
        <family val="2"/>
      </rPr>
      <t>Investissement par ha</t>
    </r>
  </si>
  <si>
    <r>
      <rPr>
        <sz val="11"/>
        <color indexed="8"/>
        <rFont val="Calibri"/>
        <family val="2"/>
      </rPr>
      <t>Emploi total généré par an</t>
    </r>
  </si>
  <si>
    <r>
      <rPr>
        <sz val="11"/>
        <color indexed="8"/>
        <rFont val="Calibri"/>
        <family val="2"/>
      </rPr>
      <t>Surface de la pépinière</t>
    </r>
  </si>
  <si>
    <r>
      <rPr>
        <sz val="11"/>
        <color indexed="8"/>
        <rFont val="Calibri"/>
        <family val="2"/>
      </rPr>
      <t>Nombre d'arbres vivants après l'achèvement du projet</t>
    </r>
  </si>
  <si>
    <r>
      <rPr>
        <sz val="11"/>
        <color indexed="8"/>
        <rFont val="Calibri"/>
        <family val="2"/>
      </rPr>
      <t>Investissement nécessaire pour le projet de plantation</t>
    </r>
  </si>
  <si>
    <r>
      <rPr>
        <b/>
        <u val="single"/>
        <sz val="11"/>
        <color indexed="8"/>
        <rFont val="Calibri"/>
        <family val="2"/>
      </rPr>
      <t>Remarque :</t>
    </r>
  </si>
  <si>
    <r>
      <rPr>
        <sz val="11"/>
        <color indexed="8"/>
        <rFont val="Calibri"/>
        <family val="2"/>
      </rPr>
      <t>Cette page décrit le processus de plantation du territoire avec les Waterboxxes Groasis.</t>
    </r>
  </si>
  <si>
    <r>
      <rPr>
        <sz val="11"/>
        <color indexed="8"/>
        <rFont val="Calibri"/>
        <family val="2"/>
      </rPr>
      <t>Frais de nettoyage par ha (mauvaise herbe/espèces indésirables)</t>
    </r>
  </si>
  <si>
    <r>
      <rPr>
        <u val="single"/>
        <sz val="11"/>
        <color indexed="8"/>
        <rFont val="Calibri"/>
        <family val="2"/>
      </rPr>
      <t>Frais de nettoyage totaux par ha</t>
    </r>
  </si>
  <si>
    <r>
      <rPr>
        <sz val="11"/>
        <color indexed="8"/>
        <rFont val="Calibri"/>
        <family val="2"/>
      </rPr>
      <t>Nombre de Waterboxxes Groasis/trous de plantation par ha</t>
    </r>
  </si>
  <si>
    <r>
      <rPr>
        <sz val="11"/>
        <color indexed="8"/>
        <rFont val="Calibri"/>
        <family val="2"/>
      </rPr>
      <t xml:space="preserve">Nombre d'arbres par Waterboxx Groasis </t>
    </r>
  </si>
  <si>
    <r>
      <rPr>
        <i/>
        <sz val="11"/>
        <color indexed="8"/>
        <rFont val="Calibri"/>
        <family val="2"/>
      </rPr>
      <t>Sélectionnez la valeur appropriée dans la liste déroulante</t>
    </r>
  </si>
  <si>
    <r>
      <rPr>
        <sz val="11"/>
        <color indexed="8"/>
        <rFont val="Calibri"/>
        <family val="2"/>
      </rPr>
      <t>Nombre d'arbres plantés par ha</t>
    </r>
  </si>
  <si>
    <r>
      <rPr>
        <sz val="11"/>
        <color indexed="8"/>
        <rFont val="Calibri"/>
        <family val="2"/>
      </rPr>
      <t xml:space="preserve">Nombre de variétés planté dans chaque Waterboxx Groasis </t>
    </r>
  </si>
  <si>
    <r>
      <rPr>
        <i/>
        <sz val="11"/>
        <color indexed="8"/>
        <rFont val="Calibri"/>
        <family val="2"/>
      </rPr>
      <t>Sélectionnez la valeur</t>
    </r>
    <r>
      <rPr>
        <i/>
        <sz val="11"/>
        <color indexed="8"/>
        <rFont val="Calibri"/>
        <family val="2"/>
      </rPr>
      <t xml:space="preserve"> appropriée dans la liste déroulante</t>
    </r>
    <r>
      <rPr>
        <i/>
        <sz val="11"/>
        <color indexed="8"/>
        <rFont val="Calibri"/>
        <family val="2"/>
      </rPr>
      <t xml:space="preserve"> </t>
    </r>
    <r>
      <rPr>
        <i/>
        <sz val="11"/>
        <color indexed="8"/>
        <rFont val="Calibri"/>
        <family val="2"/>
      </rPr>
      <t>Si vous planter 2 variétés, on suppose une répartition de 50% -50%</t>
    </r>
  </si>
  <si>
    <r>
      <rPr>
        <sz val="11"/>
        <color indexed="8"/>
        <rFont val="Calibri"/>
        <family val="2"/>
      </rPr>
      <t>Prix de la variété 1</t>
    </r>
  </si>
  <si>
    <r>
      <rPr>
        <sz val="11"/>
        <color indexed="8"/>
        <rFont val="Calibri"/>
        <family val="2"/>
      </rPr>
      <t>Prix de la variété 2</t>
    </r>
  </si>
  <si>
    <r>
      <rPr>
        <u val="single"/>
        <sz val="11"/>
        <color indexed="8"/>
        <rFont val="Calibri"/>
        <family val="2"/>
      </rPr>
      <t>Coût des arbres par ha</t>
    </r>
  </si>
  <si>
    <r>
      <rPr>
        <sz val="11"/>
        <color indexed="8"/>
        <rFont val="Calibri"/>
        <family val="2"/>
      </rPr>
      <t>Taux de survie prévu</t>
    </r>
  </si>
  <si>
    <t>%</t>
  </si>
  <si>
    <r>
      <rPr>
        <sz val="11"/>
        <color indexed="8"/>
        <rFont val="Calibri"/>
        <family val="2"/>
      </rPr>
      <t>Nombre d'arbres survécus par ha</t>
    </r>
  </si>
  <si>
    <r>
      <rPr>
        <sz val="11"/>
        <color indexed="8"/>
        <rFont val="Calibri"/>
        <family val="2"/>
      </rPr>
      <t>Nombre de m2 par arbre survivant</t>
    </r>
  </si>
  <si>
    <r>
      <rPr>
        <sz val="11"/>
        <color indexed="8"/>
        <rFont val="Calibri"/>
        <family val="2"/>
      </rPr>
      <t xml:space="preserve">Coût total par Waterboxx Groasis </t>
    </r>
  </si>
  <si>
    <r>
      <rPr>
        <i/>
        <sz val="11"/>
        <color indexed="8"/>
        <rFont val="Calibri"/>
        <family val="2"/>
      </rPr>
      <t>Important: saisissez le prix de votre offre.</t>
    </r>
    <r>
      <rPr>
        <i/>
        <sz val="11"/>
        <color indexed="8"/>
        <rFont val="Calibri"/>
        <family val="2"/>
      </rPr>
      <t xml:space="preserve"> </t>
    </r>
    <r>
      <rPr>
        <i/>
        <sz val="11"/>
        <color indexed="8"/>
        <rFont val="Calibri"/>
        <family val="2"/>
      </rPr>
      <t>Le prix standard renseigné n'est pas le prix du marché, car le prix dépend des</t>
    </r>
  </si>
  <si>
    <r>
      <rPr>
        <u val="single"/>
        <sz val="11"/>
        <color indexed="8"/>
        <rFont val="Calibri"/>
        <family val="2"/>
      </rPr>
      <t>Coûts des Waterboxxes Groasis par ha</t>
    </r>
  </si>
  <si>
    <r>
      <rPr>
        <sz val="11"/>
        <color indexed="8"/>
        <rFont val="Calibri"/>
        <family val="2"/>
      </rPr>
      <t>Nombre de trous de plantation foré par hectare</t>
    </r>
  </si>
  <si>
    <r>
      <rPr>
        <sz val="11"/>
        <color indexed="8"/>
        <rFont val="Calibri"/>
        <family val="2"/>
      </rPr>
      <t>Frais de perceuse par trou de plantation - machines</t>
    </r>
  </si>
  <si>
    <r>
      <rPr>
        <u val="single"/>
        <sz val="11"/>
        <color indexed="8"/>
        <rFont val="Calibri"/>
        <family val="2"/>
      </rPr>
      <t>Frais de forage des trous de plantation par ha</t>
    </r>
  </si>
  <si>
    <r>
      <rPr>
        <u val="single"/>
        <sz val="11"/>
        <color indexed="8"/>
        <rFont val="Calibri"/>
        <family val="2"/>
      </rPr>
      <t>Frais de la plantation par ha</t>
    </r>
  </si>
  <si>
    <r>
      <rPr>
        <sz val="11"/>
        <color indexed="8"/>
        <rFont val="Calibri"/>
        <family val="2"/>
      </rPr>
      <t>Quantité d'eau nécessaire par boîte - avant la plantation</t>
    </r>
  </si>
  <si>
    <r>
      <rPr>
        <sz val="11"/>
        <color indexed="8"/>
        <rFont val="Calibri"/>
        <family val="2"/>
      </rPr>
      <t>litre</t>
    </r>
  </si>
  <si>
    <r>
      <rPr>
        <u val="single"/>
        <sz val="11"/>
        <color indexed="8"/>
        <rFont val="Calibri"/>
        <family val="2"/>
      </rPr>
      <t>Frais de gestion et d'organisation par ha</t>
    </r>
  </si>
  <si>
    <r>
      <rPr>
        <u val="single"/>
        <sz val="11"/>
        <color indexed="8"/>
        <rFont val="Calibri"/>
        <family val="2"/>
      </rPr>
      <t xml:space="preserve">Frais imprévus estimés par ha </t>
    </r>
  </si>
  <si>
    <r>
      <rPr>
        <b/>
        <u val="single"/>
        <sz val="11"/>
        <color indexed="8"/>
        <rFont val="Calibri"/>
        <family val="2"/>
      </rPr>
      <t xml:space="preserve">Frais de plantation totaux estimés </t>
    </r>
  </si>
  <si>
    <r>
      <rPr>
        <b/>
        <u val="single"/>
        <sz val="11"/>
        <color indexed="8"/>
        <rFont val="Calibri"/>
        <family val="2"/>
      </rPr>
      <t>US$/ha</t>
    </r>
  </si>
  <si>
    <r>
      <rPr>
        <b/>
        <u val="single"/>
        <sz val="11"/>
        <color indexed="8"/>
        <rFont val="Calibri"/>
        <family val="2"/>
      </rPr>
      <t>US$/arbre</t>
    </r>
  </si>
  <si>
    <r>
      <rPr>
        <sz val="11"/>
        <color indexed="8"/>
        <rFont val="Calibri"/>
        <family val="2"/>
      </rPr>
      <t>Cette page décrit la façon dont le projet devrait être organisé.</t>
    </r>
    <r>
      <rPr>
        <sz val="11"/>
        <color indexed="8"/>
        <rFont val="Calibri"/>
        <family val="2"/>
      </rPr>
      <t xml:space="preserve"> </t>
    </r>
    <r>
      <rPr>
        <sz val="11"/>
        <color indexed="8"/>
        <rFont val="Calibri"/>
        <family val="2"/>
      </rPr>
      <t>Par ailleurs, la page contient une vue d'ensemble de l'emploi créé</t>
    </r>
  </si>
  <si>
    <r>
      <rPr>
        <sz val="11"/>
        <color indexed="8"/>
        <rFont val="Calibri"/>
        <family val="2"/>
      </rPr>
      <t>Nombre d'ha qui sont plantés chaque année</t>
    </r>
  </si>
  <si>
    <r>
      <rPr>
        <sz val="11"/>
        <color indexed="8"/>
        <rFont val="Calibri"/>
        <family val="2"/>
      </rPr>
      <t xml:space="preserve">Nombre d'ha par semaine qui sont plantés </t>
    </r>
  </si>
  <si>
    <r>
      <rPr>
        <sz val="11"/>
        <color indexed="8"/>
        <rFont val="Calibri"/>
        <family val="2"/>
      </rPr>
      <t>Nombre de Waterboxxes Groasis par semaine</t>
    </r>
  </si>
  <si>
    <r>
      <rPr>
        <sz val="11"/>
        <color indexed="8"/>
        <rFont val="Calibri"/>
        <family val="2"/>
      </rPr>
      <t>Nombre d'arbres par semaine</t>
    </r>
  </si>
  <si>
    <r>
      <rPr>
        <sz val="11"/>
        <color indexed="8"/>
        <rFont val="Calibri"/>
        <family val="2"/>
      </rPr>
      <t>Nombre de jours ouvrables par semaine</t>
    </r>
  </si>
  <si>
    <r>
      <rPr>
        <sz val="11"/>
        <color indexed="8"/>
        <rFont val="Calibri"/>
        <family val="2"/>
      </rPr>
      <t>jours</t>
    </r>
  </si>
  <si>
    <r>
      <rPr>
        <sz val="11"/>
        <color indexed="8"/>
        <rFont val="Calibri"/>
        <family val="2"/>
      </rPr>
      <t>Durée de service d'un planteur</t>
    </r>
  </si>
  <si>
    <r>
      <rPr>
        <sz val="11"/>
        <color indexed="8"/>
        <rFont val="Calibri"/>
        <family val="2"/>
      </rPr>
      <t>Nombre d'heures par jour foré</t>
    </r>
  </si>
  <si>
    <r>
      <rPr>
        <sz val="11"/>
        <color indexed="8"/>
        <rFont val="Calibri"/>
        <family val="2"/>
      </rPr>
      <t>Nombre de trous qui sont percés par heure</t>
    </r>
  </si>
  <si>
    <r>
      <rPr>
        <sz val="11"/>
        <color indexed="8"/>
        <rFont val="Calibri"/>
        <family val="2"/>
      </rPr>
      <t>Nombre de trous qui sont percés par jour</t>
    </r>
  </si>
  <si>
    <r>
      <rPr>
        <sz val="11"/>
        <color indexed="8"/>
        <rFont val="Calibri"/>
        <family val="2"/>
      </rPr>
      <t>Nombre de perceuses nécessaires</t>
    </r>
  </si>
  <si>
    <r>
      <rPr>
        <u val="single"/>
        <sz val="11"/>
        <color indexed="8"/>
        <rFont val="Calibri"/>
        <family val="2"/>
      </rPr>
      <t>Nombre de personnes requises qui font fonctio</t>
    </r>
    <r>
      <rPr>
        <u val="single"/>
        <sz val="11"/>
        <color indexed="8"/>
        <rFont val="Calibri"/>
        <family val="2"/>
      </rPr>
      <t>nner le forage</t>
    </r>
  </si>
  <si>
    <r>
      <rPr>
        <sz val="11"/>
        <color indexed="8"/>
        <rFont val="Calibri"/>
        <family val="2"/>
      </rPr>
      <t>Nombre de Waterboxxes Groasis planté par équipe</t>
    </r>
  </si>
  <si>
    <r>
      <rPr>
        <u val="single"/>
        <sz val="11"/>
        <color indexed="8"/>
        <rFont val="Calibri"/>
        <family val="2"/>
      </rPr>
      <t>Nombre de planteurs nécessaire</t>
    </r>
  </si>
  <si>
    <r>
      <rPr>
        <sz val="11"/>
        <color indexed="8"/>
        <rFont val="Calibri"/>
        <family val="2"/>
      </rPr>
      <t>Nombre de Waterboxxes Groasis enlevé et nettoyé par homme et par heure</t>
    </r>
  </si>
  <si>
    <r>
      <rPr>
        <sz val="11"/>
        <color indexed="8"/>
        <rFont val="Calibri"/>
        <family val="2"/>
      </rPr>
      <t>Nombre de Waterboxxes Groasis enlevé et nettoyé par équipe</t>
    </r>
  </si>
  <si>
    <r>
      <rPr>
        <u val="single"/>
        <sz val="11"/>
        <color indexed="8"/>
        <rFont val="Calibri"/>
        <family val="2"/>
      </rPr>
      <t>Nombre de personnes requises pour enlever et nettoyer les boîtes</t>
    </r>
  </si>
  <si>
    <r>
      <rPr>
        <u val="single"/>
        <sz val="11"/>
        <color indexed="8"/>
        <rFont val="Calibri"/>
        <family val="2"/>
      </rPr>
      <t>Distribution d'eau pendant la plantation</t>
    </r>
  </si>
  <si>
    <r>
      <rPr>
        <sz val="11"/>
        <color indexed="8"/>
        <rFont val="Calibri"/>
        <family val="2"/>
      </rPr>
      <t>Nombre d'ha nettoyés par jours</t>
    </r>
  </si>
  <si>
    <r>
      <rPr>
        <u val="single"/>
        <sz val="11"/>
        <color indexed="8"/>
        <rFont val="Calibri"/>
        <family val="2"/>
      </rPr>
      <t>Nombre de nettoyeurs requis</t>
    </r>
  </si>
  <si>
    <r>
      <rPr>
        <u val="single"/>
        <sz val="11"/>
        <color indexed="8"/>
        <rFont val="Calibri"/>
        <family val="2"/>
      </rPr>
      <t>Gestion</t>
    </r>
  </si>
  <si>
    <r>
      <rPr>
        <b/>
        <u val="single"/>
        <sz val="11"/>
        <color indexed="8"/>
        <rFont val="Calibri"/>
        <family val="2"/>
      </rPr>
      <t>Nombre total de travailleurs requis pour un projet de plantation, incluant la gestion</t>
    </r>
  </si>
  <si>
    <r>
      <rPr>
        <sz val="11"/>
        <color indexed="8"/>
        <rFont val="Calibri"/>
        <family val="2"/>
      </rPr>
      <t>Sur cette page, vous trouverez un calcul de la taille de la pépinière nécessaire pour pouvoir cultiver les jeunes arbres et bui</t>
    </r>
    <r>
      <rPr>
        <sz val="11"/>
        <color indexed="8"/>
        <rFont val="Calibri"/>
        <family val="2"/>
      </rPr>
      <t>ssons pour votre projet.</t>
    </r>
  </si>
  <si>
    <r>
      <rPr>
        <sz val="11"/>
        <color indexed="8"/>
        <rFont val="Calibri"/>
        <family val="2"/>
      </rPr>
      <t>L'âge minimum des plantes pour la plantation dans les Waterboxxes Groasis</t>
    </r>
  </si>
  <si>
    <r>
      <rPr>
        <sz val="11"/>
        <color indexed="8"/>
        <rFont val="Calibri"/>
        <family val="2"/>
      </rPr>
      <t>Densité de plantation en pépinière, première période, plateaux de polystyrène</t>
    </r>
  </si>
  <si>
    <r>
      <rPr>
        <sz val="11"/>
        <color indexed="8"/>
        <rFont val="Calibri"/>
        <family val="2"/>
      </rPr>
      <t>Densité de plantation dans la pépinière, semaines restantes, plateaux de polystyrène</t>
    </r>
  </si>
  <si>
    <r>
      <rPr>
        <sz val="11"/>
        <color indexed="8"/>
        <rFont val="Calibri"/>
        <family val="2"/>
      </rPr>
      <t>Temps en semaines dans la pépinière, pour 800 plantes par m2</t>
    </r>
  </si>
  <si>
    <r>
      <rPr>
        <sz val="11"/>
        <color indexed="8"/>
        <rFont val="Calibri"/>
        <family val="2"/>
      </rPr>
      <t>Perte de plantes pendant la production en pépinière</t>
    </r>
  </si>
  <si>
    <r>
      <rPr>
        <sz val="11"/>
        <color indexed="8"/>
        <rFont val="Calibri"/>
        <family val="2"/>
      </rPr>
      <t>Superficie brute nécessaire à la production pour la première semaine</t>
    </r>
  </si>
  <si>
    <r>
      <rPr>
        <sz val="11"/>
        <color indexed="8"/>
        <rFont val="Calibri"/>
        <family val="2"/>
      </rPr>
      <t>Superficie totale brute nécessaire pour la période initiale de production</t>
    </r>
  </si>
  <si>
    <r>
      <rPr>
        <sz val="11"/>
        <color indexed="8"/>
        <rFont val="Calibri"/>
        <family val="2"/>
      </rPr>
      <t>Surface brute nécessaire par semaine pour les semaines restantes</t>
    </r>
  </si>
  <si>
    <r>
      <rPr>
        <sz val="11"/>
        <color indexed="8"/>
        <rFont val="Calibri"/>
        <family val="2"/>
      </rPr>
      <t>Superficie totale brute requise pour la période de production finale</t>
    </r>
  </si>
  <si>
    <r>
      <rPr>
        <sz val="11"/>
        <color indexed="8"/>
        <rFont val="Calibri"/>
        <family val="2"/>
      </rPr>
      <t>Superficie totale requise de la pépinière (net)</t>
    </r>
  </si>
  <si>
    <r>
      <rPr>
        <sz val="11"/>
        <color indexed="8"/>
        <rFont val="Calibri"/>
        <family val="2"/>
      </rPr>
      <t>Pourcentage de la superficie inutilisé dans la pépinière (couloirs)</t>
    </r>
  </si>
  <si>
    <r>
      <rPr>
        <sz val="11"/>
        <color indexed="8"/>
        <rFont val="Calibri"/>
        <family val="2"/>
      </rPr>
      <t>Cette page fournit l</t>
    </r>
    <r>
      <rPr>
        <sz val="11"/>
        <color indexed="8"/>
        <rFont val="Calibri"/>
        <family val="2"/>
      </rPr>
      <t>es frais de gestion et de bureau, incluant le bâtiment</t>
    </r>
  </si>
  <si>
    <r>
      <rPr>
        <sz val="10"/>
        <color indexed="9"/>
        <rFont val="Calibri"/>
        <family val="2"/>
      </rPr>
      <t>Entrée</t>
    </r>
  </si>
  <si>
    <r>
      <rPr>
        <sz val="10"/>
        <color indexed="9"/>
        <rFont val="Calibri"/>
        <family val="2"/>
      </rPr>
      <t>Nombre</t>
    </r>
  </si>
  <si>
    <r>
      <rPr>
        <sz val="10"/>
        <color indexed="9"/>
        <rFont val="Calibri"/>
        <family val="2"/>
      </rPr>
      <t>Salaire annuel en $</t>
    </r>
  </si>
  <si>
    <r>
      <rPr>
        <sz val="10"/>
        <color indexed="9"/>
        <rFont val="Calibri"/>
        <family val="2"/>
      </rPr>
      <t>Frais de bureau en $</t>
    </r>
  </si>
  <si>
    <r>
      <rPr>
        <sz val="11"/>
        <color indexed="8"/>
        <rFont val="Calibri"/>
        <family val="2"/>
      </rPr>
      <t>Directeur général</t>
    </r>
  </si>
  <si>
    <r>
      <rPr>
        <sz val="11"/>
        <color indexed="8"/>
        <rFont val="Calibri"/>
        <family val="2"/>
      </rPr>
      <t>Directeur financier</t>
    </r>
  </si>
  <si>
    <r>
      <rPr>
        <sz val="11"/>
        <color indexed="8"/>
        <rFont val="Calibri"/>
        <family val="2"/>
      </rPr>
      <t>Marketing et vente</t>
    </r>
  </si>
  <si>
    <r>
      <rPr>
        <sz val="11"/>
        <color indexed="8"/>
        <rFont val="Calibri"/>
        <family val="2"/>
      </rPr>
      <t>Ressources humaines</t>
    </r>
  </si>
  <si>
    <r>
      <rPr>
        <sz val="11"/>
        <color indexed="8"/>
        <rFont val="Calibri"/>
        <family val="2"/>
      </rPr>
      <t>Contrôle qualité</t>
    </r>
  </si>
  <si>
    <r>
      <rPr>
        <sz val="11"/>
        <color indexed="8"/>
        <rFont val="Calibri"/>
        <family val="2"/>
      </rPr>
      <t>Communication</t>
    </r>
  </si>
  <si>
    <r>
      <rPr>
        <sz val="11"/>
        <color indexed="8"/>
        <rFont val="Calibri"/>
        <family val="2"/>
      </rPr>
      <t>Pépinière</t>
    </r>
  </si>
  <si>
    <r>
      <rPr>
        <sz val="11"/>
        <color indexed="8"/>
        <rFont val="Calibri"/>
        <family val="2"/>
      </rPr>
      <t>Sylviculture</t>
    </r>
  </si>
  <si>
    <r>
      <rPr>
        <sz val="11"/>
        <color indexed="8"/>
        <rFont val="Calibri"/>
        <family val="2"/>
      </rPr>
      <t>Logistique</t>
    </r>
  </si>
  <si>
    <r>
      <rPr>
        <sz val="11"/>
        <color indexed="8"/>
        <rFont val="Calibri"/>
        <family val="2"/>
      </rPr>
      <t>Appareillage</t>
    </r>
  </si>
  <si>
    <r>
      <rPr>
        <sz val="11"/>
        <color indexed="8"/>
        <rFont val="Calibri"/>
        <family val="2"/>
      </rPr>
      <t xml:space="preserve">Alimentation </t>
    </r>
    <r>
      <rPr>
        <sz val="11"/>
        <color indexed="8"/>
        <rFont val="Calibri"/>
        <family val="2"/>
      </rPr>
      <t>&amp;</t>
    </r>
    <r>
      <rPr>
        <sz val="11"/>
        <color indexed="8"/>
        <rFont val="Calibri"/>
        <family val="2"/>
      </rPr>
      <t xml:space="preserve"> santé</t>
    </r>
  </si>
  <si>
    <r>
      <rPr>
        <sz val="11"/>
        <color indexed="8"/>
        <rFont val="Calibri"/>
        <family val="2"/>
      </rPr>
      <t>Sécurité</t>
    </r>
  </si>
  <si>
    <r>
      <rPr>
        <sz val="11"/>
        <color indexed="8"/>
        <rFont val="Calibri"/>
        <family val="2"/>
      </rPr>
      <t>Médecin</t>
    </r>
  </si>
  <si>
    <r>
      <rPr>
        <sz val="11"/>
        <color indexed="8"/>
        <rFont val="Calibri"/>
        <family val="2"/>
      </rPr>
      <t>Juridique</t>
    </r>
  </si>
  <si>
    <r>
      <rPr>
        <sz val="11"/>
        <color indexed="8"/>
        <rFont val="Calibri"/>
        <family val="2"/>
      </rPr>
      <t>Personnel de soutien</t>
    </r>
  </si>
  <si>
    <r>
      <rPr>
        <sz val="11"/>
        <color indexed="8"/>
        <rFont val="Calibri"/>
        <family val="2"/>
      </rPr>
      <t>Sous-total</t>
    </r>
  </si>
  <si>
    <r>
      <rPr>
        <b/>
        <i/>
        <sz val="24"/>
        <color indexed="9"/>
        <rFont val="Calibri"/>
        <family val="2"/>
      </rPr>
      <t>Technologie Groasis</t>
    </r>
  </si>
  <si>
    <r>
      <rPr>
        <sz val="11"/>
        <color indexed="8"/>
        <rFont val="Calibri"/>
        <family val="2"/>
      </rPr>
      <t>Frais de logement par employé par jour</t>
    </r>
  </si>
  <si>
    <r>
      <rPr>
        <u val="single"/>
        <sz val="11"/>
        <color indexed="8"/>
        <rFont val="Calibri"/>
        <family val="2"/>
      </rPr>
      <t>Frais de nettoyage des Waterboxxes par hectare</t>
    </r>
  </si>
  <si>
    <r>
      <rPr>
        <sz val="11"/>
        <color indexed="8"/>
        <rFont val="Calibri"/>
        <family val="2"/>
      </rPr>
      <t>Nombre de Waterboxxes Groasis assemblé et planté par homme et par heure</t>
    </r>
  </si>
  <si>
    <r>
      <rPr>
        <u val="single"/>
        <sz val="11"/>
        <color indexed="8"/>
        <rFont val="Calibri"/>
        <family val="2"/>
      </rPr>
      <t>Transport interne pendant la plantation</t>
    </r>
  </si>
  <si>
    <r>
      <rPr>
        <u val="single"/>
        <sz val="11"/>
        <color indexed="8"/>
        <rFont val="Calibri"/>
        <family val="2"/>
      </rPr>
      <t>Nombre de trous de plantation et le remplissage d'eau des Waterboxxes Groasis par heure de main d’œuvre</t>
    </r>
  </si>
  <si>
    <r>
      <rPr>
        <u val="single"/>
        <sz val="11"/>
        <color indexed="8"/>
        <rFont val="Calibri"/>
        <family val="2"/>
      </rPr>
      <t xml:space="preserve">Transport interne des Waterboxxes Groasis et arbres par heure de main d’œuvre </t>
    </r>
  </si>
  <si>
    <r>
      <rPr>
        <sz val="11"/>
        <color indexed="8"/>
        <rFont val="Calibri"/>
        <family val="2"/>
      </rPr>
      <t>Frais d'eau par litre</t>
    </r>
  </si>
  <si>
    <r>
      <rPr>
        <u val="single"/>
        <sz val="11"/>
        <color indexed="8"/>
        <rFont val="Calibri"/>
        <family val="2"/>
      </rPr>
      <t>Arrosage</t>
    </r>
  </si>
  <si>
    <r>
      <rPr>
        <sz val="24"/>
        <color indexed="8"/>
        <rFont val="Calibri"/>
        <family val="2"/>
      </rPr>
      <t>avec</t>
    </r>
  </si>
  <si>
    <r>
      <rPr>
        <i/>
        <sz val="11"/>
        <color indexed="8"/>
        <rFont val="Calibri"/>
        <family val="2"/>
      </rPr>
      <t>le nombre de boîtes achetées, les droits d'importation, la TVA, les frais de transport et autres frais.</t>
    </r>
    <r>
      <rPr>
        <i/>
        <sz val="11"/>
        <color indexed="8"/>
        <rFont val="Calibri"/>
        <family val="2"/>
      </rPr>
      <t xml:space="preserve"> </t>
    </r>
    <r>
      <rPr>
        <i/>
        <sz val="11"/>
        <color indexed="8"/>
        <rFont val="Calibri"/>
        <family val="2"/>
      </rPr>
      <t>Ces frais peuvent varier selon les pays.</t>
    </r>
  </si>
  <si>
    <r>
      <rPr>
        <sz val="12"/>
        <color indexed="8"/>
        <rFont val="Calibri"/>
        <family val="2"/>
      </rPr>
      <t>Remarque: Ce modèle simplifié fournit un aperçu complet de l'estimation des coûts associés à la réalisation d'un projet de plantation d'arbres avec les Waterboxxes Groasis dans les déserts ou dans les zones érodées ou rocheuses.</t>
    </r>
    <r>
      <rPr>
        <sz val="12"/>
        <color indexed="8"/>
        <rFont val="Calibri"/>
        <family val="2"/>
      </rPr>
      <t xml:space="preserve"> </t>
    </r>
    <r>
      <rPr>
        <sz val="12"/>
        <color indexed="8"/>
        <rFont val="Calibri"/>
        <family val="2"/>
      </rPr>
      <t>Le modèle ne reflète expressément pas la vue complète des implications de la mise en œuvre</t>
    </r>
    <r>
      <rPr>
        <sz val="12"/>
        <color indexed="8"/>
        <rFont val="Calibri"/>
        <family val="2"/>
      </rPr>
      <t xml:space="preserve"> d'un tel projet.</t>
    </r>
  </si>
  <si>
    <r>
      <rPr>
        <sz val="11"/>
        <color indexed="8"/>
        <rFont val="Calibri"/>
        <family val="2"/>
      </rPr>
      <t>ans</t>
    </r>
  </si>
  <si>
    <r>
      <rPr>
        <sz val="11"/>
        <color indexed="8"/>
        <rFont val="Calibri"/>
        <family val="2"/>
      </rPr>
      <t>US$</t>
    </r>
  </si>
  <si>
    <r>
      <rPr>
        <sz val="11"/>
        <color indexed="8"/>
        <rFont val="Calibri"/>
        <family val="2"/>
      </rPr>
      <t>mUS$</t>
    </r>
  </si>
  <si>
    <r>
      <rPr>
        <sz val="11"/>
        <color indexed="8"/>
        <rFont val="Calibri"/>
        <family val="2"/>
      </rPr>
      <t>m2</t>
    </r>
  </si>
  <si>
    <r>
      <rPr>
        <sz val="10"/>
        <color indexed="9"/>
        <rFont val="Calibri"/>
        <family val="2"/>
      </rPr>
      <t>ENTRÉE</t>
    </r>
  </si>
  <si>
    <r>
      <rPr>
        <sz val="10"/>
        <color indexed="9"/>
        <rFont val="Calibri"/>
        <family val="2"/>
      </rPr>
      <t>Unité</t>
    </r>
  </si>
  <si>
    <r>
      <rPr>
        <sz val="10"/>
        <color indexed="9"/>
        <rFont val="Calibri"/>
        <family val="2"/>
      </rPr>
      <t>Valeur</t>
    </r>
  </si>
  <si>
    <r>
      <rPr>
        <sz val="11"/>
        <color indexed="8"/>
        <rFont val="Calibri"/>
        <family val="2"/>
      </rPr>
      <t>Étendue du projet</t>
    </r>
  </si>
  <si>
    <r>
      <rPr>
        <sz val="11"/>
        <color indexed="8"/>
        <rFont val="Calibri"/>
        <family val="2"/>
      </rPr>
      <t>ha</t>
    </r>
  </si>
  <si>
    <r>
      <rPr>
        <sz val="11"/>
        <color indexed="8"/>
        <rFont val="Calibri"/>
        <family val="2"/>
      </rPr>
      <t>Durée du projet</t>
    </r>
  </si>
  <si>
    <r>
      <rPr>
        <u val="single"/>
        <sz val="11"/>
        <color indexed="8"/>
        <rFont val="Calibri"/>
        <family val="2"/>
      </rPr>
      <t>US$</t>
    </r>
  </si>
  <si>
    <r>
      <rPr>
        <sz val="11"/>
        <color indexed="8"/>
        <rFont val="Calibri"/>
        <family val="2"/>
      </rPr>
      <t>Imprévu</t>
    </r>
  </si>
  <si>
    <r>
      <rPr>
        <sz val="11"/>
        <color indexed="8"/>
        <rFont val="Calibri"/>
        <family val="2"/>
      </rPr>
      <t>10%</t>
    </r>
  </si>
  <si>
    <r>
      <rPr>
        <sz val="11"/>
        <color indexed="8"/>
        <rFont val="Calibri"/>
        <family val="2"/>
      </rPr>
      <t>semaines</t>
    </r>
  </si>
  <si>
    <r>
      <rPr>
        <sz val="11"/>
        <color indexed="8"/>
        <rFont val="Calibri"/>
        <family val="2"/>
      </rPr>
      <t>heures</t>
    </r>
  </si>
  <si>
    <r>
      <rPr>
        <sz val="11"/>
        <color indexed="8"/>
        <rFont val="Calibri"/>
        <family val="2"/>
      </rPr>
      <t>plantes/brut m2</t>
    </r>
  </si>
  <si>
    <r>
      <rPr>
        <sz val="11"/>
        <color indexed="8"/>
        <rFont val="Calibri"/>
        <family val="2"/>
      </rPr>
      <t>50%</t>
    </r>
  </si>
  <si>
    <r>
      <rPr>
        <sz val="10"/>
        <color indexed="9"/>
        <rFont val="Calibri"/>
        <family val="2"/>
      </rPr>
      <t>Total</t>
    </r>
  </si>
  <si>
    <t>© Wout Hoff - ce modèle est la propriété intellectuelle de Groasis - Pays-Bas</t>
  </si>
  <si>
    <t>Remarque : diminuez le nombre par 52 semaines moins le nombre de semaines qui ne sont pas plantés (en raison des vacances, des périodes religieuses, etc.), et saisissez le nombre de semaines restantes</t>
  </si>
  <si>
    <t>Veuillez seulement saisir les valeurs dans les cellules jaune clair :</t>
  </si>
  <si>
    <t>Ce montant inclut les frais de la pépinière, si les plantes sont cultivées localement</t>
  </si>
  <si>
    <t>Frais de perceuse par trou de plantation - frais salariaux</t>
  </si>
  <si>
    <t>Frais de plantation par Waterboxx Groasis - frais salariaux</t>
  </si>
  <si>
    <t xml:space="preserve">Logement, nourriture, transport, soins médicaux pour le personnel, etc., estimé par boîte </t>
  </si>
  <si>
    <t>Remarque: dans des conditions sèches, vous devez remplir les trous avec 20-40 litres d'eau un jour avant la plantation. Après la plantation, remplissez l'ouverture centrale de la Waterboxx Groasis avec 4 litres et la Waterboxx Groasis même avec 16 litres</t>
  </si>
  <si>
    <t>Frais de l'eau incl. logistique par ha</t>
  </si>
  <si>
    <t>Frais de nettoyage des boîtes/machines/eau</t>
  </si>
  <si>
    <t>Frais de main-d’œuvre du nettoyage</t>
  </si>
  <si>
    <t>Nombre de semaines par an qui sont plantées</t>
  </si>
  <si>
    <t>Nombre de Waterboxxes Groasis par jours ouvrables</t>
  </si>
  <si>
    <t>Remarque : les ouvriers dans la cellule C34 sont requis un an après le début du projet, et restent requises jusque un an après l'achèvement du projet.</t>
  </si>
  <si>
    <t>Frais de nettoyage par ha (mauvaise herbe/espèces indésirable) en heures par ha</t>
  </si>
  <si>
    <t>Main-d’œuvre imprévue, estimée pour</t>
  </si>
  <si>
    <t>Nombre de plantes nettes par semaine qui sont nécessaires</t>
  </si>
  <si>
    <t xml:space="preserve">Nombre de plantes brutes nécessaires par semaine </t>
  </si>
  <si>
    <t>Assistant(e) de direction</t>
  </si>
  <si>
    <t>Frais de gestion totale</t>
  </si>
  <si>
    <r>
      <t xml:space="preserve">    </t>
    </r>
    <r>
      <rPr>
        <b/>
        <i/>
        <sz val="24"/>
        <color indexed="9"/>
        <rFont val="Calibri"/>
        <family val="2"/>
      </rPr>
      <t>La Waterboxx Groasis réutilisable pendant 10 fois</t>
    </r>
  </si>
  <si>
    <t>US$</t>
  </si>
  <si>
    <t>Protection des arbres contre les animaux</t>
  </si>
  <si>
    <t>Coût de la protection contre les animaux par ha</t>
  </si>
  <si>
    <t>Les coûts de sécurité / protection de la zone</t>
  </si>
  <si>
    <t>Coûts totale de protection et de la sécurité</t>
  </si>
  <si>
    <t>CO₂ réduction annuelle en tonnes</t>
  </si>
  <si>
    <t>m2</t>
  </si>
  <si>
    <t xml:space="preserve">       Superficie totale requise de la pépinière (brut)</t>
  </si>
  <si>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</si>
  <si>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</si>
  <si>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</si>
  <si>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r>
      <t xml:space="preserve">                                       </t>
    </r>
    <r>
      <rPr>
        <sz val="11"/>
        <color indexed="8"/>
        <rFont val="Calibri"/>
        <family val="2"/>
      </rPr>
      <t xml:space="preserve"> </t>
    </r>
    <r>
      <rPr>
        <b/>
        <i/>
        <sz val="11"/>
        <color indexed="8"/>
        <rFont val="Calibri"/>
        <family val="2"/>
      </rPr>
      <t>Rendez des terres en friche à nouveau productives</t>
    </r>
  </si>
  <si>
    <t xml:space="preserve">                                        rendez des terres en friche à nouveau productives</t>
  </si>
  <si>
    <t xml:space="preserve">  Rendez des terres en friche à nouveau productives</t>
  </si>
  <si>
    <t>pour la Arbrocion</t>
  </si>
  <si>
    <t>CO₂ totale réduction de tonnes par an</t>
  </si>
  <si>
    <t>CO₂ totale réduction de tonnes en 50 ans après la plantation</t>
  </si>
  <si>
    <t>Prix ​​de la tonne de CO₂ réduction pendant toute période</t>
  </si>
  <si>
    <t>Les coûts de la gestion standard sont prises par 10 000 hectares</t>
  </si>
  <si>
    <t>Remarque: on supposé que le coût de production des jeunes arbres inclus la production dans la pépinière et le matériel (voir l'onglet «Coûts de la plantation»).</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</si>
</sst>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0_ ;\-#,##0\ "/>
    <numFmt numFmtId="180" formatCode="#,##0.00000000_ ;\-#,##0.00000000\ "/>
    <numFmt numFmtId="181" formatCode="#,##0.000000000_ ;\-#,##0.000000000\ "/>
    <numFmt numFmtId="182" formatCode="_-* #,##0.00000000_-;\-* #,##0.00000000_-;_-* \-??_-;_-@_-"/>
    <numFmt numFmtId="183" formatCode="_-* #,##0.0000000_-;\-* #,##0.0000000_-;_-* \-??_-;_-@_-"/>
    <numFmt numFmtId="184" formatCode="_-* #,##0.000000_-;\-* #,##0.000000_-;_-* \-??_-;_-@_-"/>
    <numFmt numFmtId="185" formatCode="_-* #,##0.00000_-;\-* #,##0.00000_-;_-* \-??_-;_-@_-"/>
    <numFmt numFmtId="186" formatCode="_-* #,##0.0000_-;\-* #,##0.0000_-;_-* \-??_-;_-@_-"/>
    <numFmt numFmtId="187" formatCode="_-* #,##0.000_-;\-* #,##0.000_-;_-* \-??_-;_-@_-"/>
  </numFmts>
  <fonts count="58">
    <font>
      <sz val="11"/>
      <color indexed="8"/>
      <name val="Calibri"/>
      <family val="2"/>
    </font>
    <font>
      <sz val="10"/>
      <name val="Arial"/>
      <family val="0"/>
    </font>
    <font>
      <sz val="10"/>
      <name val="Calibri"/>
      <family val="2"/>
    </font>
    <font>
      <i/>
      <sz val="18"/>
      <name val="Calibri"/>
      <family val="2"/>
    </font>
    <font>
      <b/>
      <i/>
      <sz val="24"/>
      <color indexed="9"/>
      <name val="Calibri"/>
      <family val="2"/>
    </font>
    <font>
      <sz val="24"/>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b/>
      <sz val="9"/>
      <color indexed="8"/>
      <name val="Tahoma"/>
      <family val="2"/>
    </font>
    <font>
      <b/>
      <sz val="11"/>
      <color indexed="8"/>
      <name val="Calibri"/>
      <family val="2"/>
    </font>
    <font>
      <sz val="11"/>
      <name val="Calibri"/>
      <family val="2"/>
    </font>
    <font>
      <i/>
      <sz val="11"/>
      <name val="Calibri"/>
      <family val="2"/>
    </font>
    <font>
      <u val="single"/>
      <sz val="11"/>
      <name val="Calibri"/>
      <family val="2"/>
    </font>
    <font>
      <sz val="11"/>
      <color indexed="9"/>
      <name val="Calibri"/>
      <family val="2"/>
    </font>
    <font>
      <b/>
      <sz val="11"/>
      <color indexed="9"/>
      <name val="Calibri"/>
      <family val="2"/>
    </font>
    <font>
      <sz val="11"/>
      <color indexed="10"/>
      <name val="Calibri"/>
      <family val="2"/>
    </font>
    <font>
      <b/>
      <sz val="8"/>
      <name val="Tahoma"/>
      <family val="2"/>
    </font>
    <font>
      <sz val="24"/>
      <color indexed="8"/>
      <name val="Calibri"/>
      <family val="2"/>
    </font>
    <font>
      <sz val="12"/>
      <color indexed="8"/>
      <name val="Calibri"/>
      <family val="2"/>
    </font>
    <font>
      <sz val="9"/>
      <color indexed="8"/>
      <name val="Arial"/>
      <family val="2"/>
    </font>
    <font>
      <b/>
      <i/>
      <sz val="11"/>
      <color indexed="8"/>
      <name val="Calibri"/>
      <family val="2"/>
    </font>
    <font>
      <sz val="9"/>
      <name val="Tahoma"/>
      <family val="2"/>
    </font>
    <font>
      <b/>
      <sz val="9"/>
      <name val="Tahoma"/>
      <family val="2"/>
    </font>
    <font>
      <b/>
      <u val="single"/>
      <sz val="10"/>
      <color indexed="8"/>
      <name val="Calibri"/>
      <family val="2"/>
    </font>
    <font>
      <b/>
      <sz val="10"/>
      <color indexed="8"/>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b/>
      <sz val="8"/>
      <name val="Calibri"/>
      <family val="2"/>
    </font>
  </fonts>
  <fills count="4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indexed="50"/>
        <bgColor indexed="64"/>
      </patternFill>
    </fill>
    <fill>
      <patternFill patternType="solid">
        <fgColor rgb="FF99CC00"/>
        <bgColor indexed="64"/>
      </patternFill>
    </fill>
    <fill>
      <patternFill patternType="solid">
        <fgColor rgb="FFFFFF99"/>
        <bgColor indexed="64"/>
      </patternFill>
    </fill>
    <fill>
      <patternFill patternType="solid">
        <fgColor rgb="FFFFC000"/>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5" fillId="26" borderId="1" applyNumberFormat="0" applyAlignment="0" applyProtection="0"/>
    <xf numFmtId="0" fontId="22" fillId="27" borderId="2" applyNumberFormat="0" applyAlignment="0" applyProtection="0"/>
    <xf numFmtId="0" fontId="46" fillId="0" borderId="3" applyNumberFormat="0" applyFill="0" applyAlignment="0" applyProtection="0"/>
    <xf numFmtId="0" fontId="47" fillId="28" borderId="0" applyNumberFormat="0" applyBorder="0" applyAlignment="0" applyProtection="0"/>
    <xf numFmtId="0" fontId="10" fillId="0" borderId="0" applyNumberFormat="0" applyFill="0" applyBorder="0" applyAlignment="0" applyProtection="0"/>
    <xf numFmtId="0" fontId="48"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1" fillId="0" borderId="0">
      <alignment/>
      <protection/>
    </xf>
    <xf numFmtId="0" fontId="0" fillId="31" borderId="7" applyNumberFormat="0" applyFont="0" applyAlignment="0" applyProtection="0"/>
    <xf numFmtId="0" fontId="53" fillId="32" borderId="0" applyNumberFormat="0" applyBorder="0" applyAlignment="0" applyProtection="0"/>
    <xf numFmtId="9" fontId="0" fillId="0" borderId="0" applyFill="0" applyBorder="0" applyAlignment="0" applyProtection="0"/>
    <xf numFmtId="0" fontId="54" fillId="0" borderId="0" applyNumberFormat="0" applyFill="0" applyBorder="0" applyAlignment="0" applyProtection="0"/>
    <xf numFmtId="0" fontId="17" fillId="0" borderId="8" applyNumberFormat="0" applyFill="0" applyAlignment="0" applyProtection="0"/>
    <xf numFmtId="0" fontId="55"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0" applyNumberFormat="0" applyFill="0" applyBorder="0" applyAlignment="0" applyProtection="0"/>
    <xf numFmtId="0" fontId="23" fillId="0" borderId="0" applyNumberFormat="0" applyFill="0" applyBorder="0" applyAlignment="0" applyProtection="0"/>
  </cellStyleXfs>
  <cellXfs count="97">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0" fontId="4" fillId="33" borderId="0" xfId="52" applyFont="1" applyFill="1" applyAlignment="1">
      <alignment horizontal="center" wrapText="1"/>
      <protection/>
    </xf>
    <xf numFmtId="0" fontId="5" fillId="33" borderId="0" xfId="52" applyFont="1" applyFill="1" applyAlignment="1">
      <alignment horizontal="center"/>
      <protection/>
    </xf>
    <xf numFmtId="164" fontId="4" fillId="33" borderId="0" xfId="52" applyNumberFormat="1" applyFont="1" applyFill="1" applyAlignment="1">
      <alignment horizontal="center"/>
      <protection/>
    </xf>
    <xf numFmtId="0" fontId="6" fillId="34" borderId="0" xfId="52" applyFont="1" applyFill="1" applyAlignment="1">
      <alignment horizontal="left" wrapText="1"/>
      <protection/>
    </xf>
    <xf numFmtId="0" fontId="7" fillId="33" borderId="0" xfId="52" applyFont="1" applyFill="1" applyAlignment="1">
      <alignment horizontal="center"/>
      <protection/>
    </xf>
    <xf numFmtId="0" fontId="8" fillId="34" borderId="10" xfId="52" applyFont="1" applyFill="1" applyBorder="1" applyAlignment="1">
      <alignment horizontal="center"/>
      <protection/>
    </xf>
    <xf numFmtId="0" fontId="6" fillId="33" borderId="0" xfId="52" applyFont="1" applyFill="1" applyAlignment="1">
      <alignment horizontal="center"/>
      <protection/>
    </xf>
    <xf numFmtId="0" fontId="9" fillId="33" borderId="0" xfId="52" applyFont="1" applyFill="1" applyAlignment="1">
      <alignment horizontal="center"/>
      <protection/>
    </xf>
    <xf numFmtId="0" fontId="10" fillId="33" borderId="0" xfId="43" applyNumberFormat="1" applyFont="1" applyFill="1" applyBorder="1" applyAlignment="1" applyProtection="1">
      <alignment horizontal="center"/>
      <protection/>
    </xf>
    <xf numFmtId="0" fontId="11"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2" fillId="0" borderId="0" xfId="0" applyFont="1" applyBorder="1" applyAlignment="1">
      <alignment/>
    </xf>
    <xf numFmtId="0" fontId="12" fillId="0" borderId="0" xfId="0" applyFont="1" applyAlignment="1">
      <alignment/>
    </xf>
    <xf numFmtId="166" fontId="0" fillId="36" borderId="11" xfId="45" applyNumberFormat="1" applyFont="1" applyFill="1" applyBorder="1" applyAlignment="1" applyProtection="1">
      <alignment/>
      <protection/>
    </xf>
    <xf numFmtId="0" fontId="0" fillId="33" borderId="0" xfId="0" applyFont="1" applyFill="1" applyAlignment="1">
      <alignment/>
    </xf>
    <xf numFmtId="0" fontId="13" fillId="0" borderId="0" xfId="0" applyFont="1" applyAlignment="1">
      <alignment/>
    </xf>
    <xf numFmtId="166" fontId="0" fillId="33" borderId="0" xfId="45" applyNumberFormat="1" applyFont="1" applyFill="1" applyBorder="1" applyAlignment="1" applyProtection="1">
      <alignment/>
      <protection/>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6" borderId="11" xfId="0" applyFill="1" applyBorder="1" applyAlignment="1">
      <alignment/>
    </xf>
    <xf numFmtId="0" fontId="11" fillId="35" borderId="0" xfId="0" applyFont="1" applyFill="1" applyAlignment="1">
      <alignment/>
    </xf>
    <xf numFmtId="0" fontId="11" fillId="35" borderId="0" xfId="0" applyFont="1" applyFill="1" applyAlignment="1">
      <alignment horizontal="center"/>
    </xf>
    <xf numFmtId="0" fontId="11" fillId="35" borderId="0" xfId="0" applyFont="1" applyFill="1" applyBorder="1" applyAlignment="1">
      <alignment horizontal="center"/>
    </xf>
    <xf numFmtId="0" fontId="14" fillId="0" borderId="0" xfId="0" applyFont="1" applyAlignment="1">
      <alignment/>
    </xf>
    <xf numFmtId="1" fontId="14" fillId="0" borderId="0" xfId="0" applyNumberFormat="1" applyFont="1" applyAlignment="1">
      <alignment/>
    </xf>
    <xf numFmtId="3" fontId="0" fillId="0" borderId="0" xfId="0" applyNumberFormat="1" applyFill="1" applyAlignment="1">
      <alignment/>
    </xf>
    <xf numFmtId="0" fontId="0" fillId="36" borderId="0" xfId="0" applyFill="1" applyAlignment="1">
      <alignment/>
    </xf>
    <xf numFmtId="0" fontId="15" fillId="0" borderId="0" xfId="0" applyFont="1" applyAlignment="1">
      <alignment/>
    </xf>
    <xf numFmtId="0" fontId="0" fillId="0" borderId="0" xfId="0" applyFont="1" applyAlignment="1">
      <alignment/>
    </xf>
    <xf numFmtId="2" fontId="0" fillId="36" borderId="0" xfId="0" applyNumberFormat="1" applyFill="1" applyAlignment="1">
      <alignment/>
    </xf>
    <xf numFmtId="3" fontId="14" fillId="0" borderId="0" xfId="0" applyNumberFormat="1" applyFont="1" applyAlignment="1">
      <alignment/>
    </xf>
    <xf numFmtId="9" fontId="0" fillId="36" borderId="0" xfId="0" applyNumberFormat="1" applyFill="1" applyAlignment="1">
      <alignment/>
    </xf>
    <xf numFmtId="3" fontId="0" fillId="0" borderId="0" xfId="0" applyNumberFormat="1" applyAlignment="1">
      <alignment/>
    </xf>
    <xf numFmtId="1" fontId="0" fillId="0" borderId="0" xfId="0" applyNumberFormat="1" applyAlignment="1">
      <alignment/>
    </xf>
    <xf numFmtId="2" fontId="0" fillId="0" borderId="0" xfId="0" applyNumberFormat="1" applyFill="1" applyAlignment="1">
      <alignment/>
    </xf>
    <xf numFmtId="0" fontId="0" fillId="0" borderId="0" xfId="0" applyNumberFormat="1" applyAlignment="1">
      <alignment/>
    </xf>
    <xf numFmtId="0" fontId="0" fillId="0" borderId="0" xfId="0" applyFont="1" applyAlignment="1">
      <alignment wrapText="1"/>
    </xf>
    <xf numFmtId="37" fontId="0" fillId="0" borderId="0" xfId="0" applyNumberFormat="1" applyAlignment="1">
      <alignment/>
    </xf>
    <xf numFmtId="166" fontId="0" fillId="0" borderId="0" xfId="0" applyNumberFormat="1" applyAlignment="1">
      <alignment/>
    </xf>
    <xf numFmtId="9" fontId="0" fillId="0" borderId="0" xfId="0" applyNumberFormat="1" applyAlignment="1">
      <alignment/>
    </xf>
    <xf numFmtId="9" fontId="0" fillId="36" borderId="0" xfId="55" applyFont="1" applyFill="1" applyBorder="1" applyAlignment="1" applyProtection="1">
      <alignment/>
      <protection/>
    </xf>
    <xf numFmtId="166" fontId="14" fillId="0" borderId="0" xfId="0" applyNumberFormat="1" applyFont="1" applyAlignment="1">
      <alignment/>
    </xf>
    <xf numFmtId="0" fontId="13" fillId="35" borderId="0" xfId="0" applyFont="1" applyFill="1" applyBorder="1" applyAlignment="1">
      <alignment/>
    </xf>
    <xf numFmtId="0" fontId="14" fillId="0" borderId="0" xfId="0" applyFont="1" applyFill="1" applyAlignment="1">
      <alignment/>
    </xf>
    <xf numFmtId="0" fontId="13" fillId="0" borderId="0" xfId="0" applyFont="1" applyFill="1" applyAlignment="1">
      <alignment/>
    </xf>
    <xf numFmtId="0" fontId="18" fillId="0" borderId="0" xfId="0" applyFont="1" applyAlignment="1">
      <alignment/>
    </xf>
    <xf numFmtId="0" fontId="18" fillId="36" borderId="0" xfId="0" applyFont="1" applyFill="1" applyAlignment="1">
      <alignment/>
    </xf>
    <xf numFmtId="0" fontId="19" fillId="0" borderId="0" xfId="0" applyFont="1" applyAlignment="1">
      <alignment/>
    </xf>
    <xf numFmtId="0" fontId="20" fillId="0" borderId="0" xfId="0" applyFont="1" applyAlignment="1">
      <alignment/>
    </xf>
    <xf numFmtId="3" fontId="20" fillId="0" borderId="0" xfId="0" applyNumberFormat="1" applyFont="1" applyAlignment="1">
      <alignment/>
    </xf>
    <xf numFmtId="0" fontId="8" fillId="34" borderId="12" xfId="52" applyFont="1" applyFill="1" applyBorder="1" applyAlignment="1">
      <alignment horizontal="left"/>
      <protection/>
    </xf>
    <xf numFmtId="9" fontId="0" fillId="37" borderId="0" xfId="0" applyNumberFormat="1" applyFill="1" applyAlignment="1">
      <alignment/>
    </xf>
    <xf numFmtId="9" fontId="0" fillId="36" borderId="0" xfId="0" applyNumberFormat="1" applyFill="1" applyAlignment="1">
      <alignment horizontal="right"/>
    </xf>
    <xf numFmtId="3" fontId="0" fillId="36" borderId="0" xfId="0" applyNumberFormat="1" applyFill="1" applyAlignment="1">
      <alignment horizontal="right"/>
    </xf>
    <xf numFmtId="166" fontId="0" fillId="0" borderId="0" xfId="45" applyNumberFormat="1" applyFont="1" applyFill="1" applyBorder="1" applyAlignment="1" applyProtection="1">
      <alignment horizontal="right"/>
      <protection/>
    </xf>
    <xf numFmtId="0" fontId="0" fillId="0" borderId="0" xfId="0" applyFill="1" applyAlignment="1">
      <alignment horizontal="right"/>
    </xf>
    <xf numFmtId="0" fontId="0" fillId="38" borderId="11" xfId="0" applyFont="1" applyFill="1" applyBorder="1" applyAlignment="1">
      <alignment/>
    </xf>
    <xf numFmtId="166" fontId="0" fillId="38" borderId="11" xfId="45" applyNumberFormat="1" applyFont="1" applyFill="1" applyBorder="1" applyAlignment="1" applyProtection="1">
      <alignment/>
      <protection/>
    </xf>
    <xf numFmtId="0" fontId="0" fillId="39" borderId="0" xfId="0" applyFont="1" applyFill="1" applyAlignment="1">
      <alignment/>
    </xf>
    <xf numFmtId="2" fontId="0" fillId="0" borderId="0" xfId="0" applyNumberFormat="1" applyAlignment="1">
      <alignment/>
    </xf>
    <xf numFmtId="0" fontId="5" fillId="40" borderId="0" xfId="52" applyFont="1" applyFill="1" applyAlignment="1">
      <alignment horizontal="center"/>
      <protection/>
    </xf>
    <xf numFmtId="166" fontId="18" fillId="41" borderId="11" xfId="45" applyNumberFormat="1" applyFont="1" applyFill="1" applyBorder="1" applyAlignment="1" applyProtection="1">
      <alignment/>
      <protection/>
    </xf>
    <xf numFmtId="165" fontId="0" fillId="42" borderId="13" xfId="45" applyNumberFormat="1" applyFont="1" applyFill="1" applyBorder="1" applyAlignment="1" applyProtection="1">
      <alignment/>
      <protection/>
    </xf>
    <xf numFmtId="0" fontId="0" fillId="41" borderId="0" xfId="0" applyFill="1" applyAlignment="1">
      <alignment/>
    </xf>
    <xf numFmtId="166" fontId="0" fillId="0" borderId="0" xfId="45" applyNumberFormat="1" applyFont="1" applyFill="1" applyBorder="1" applyAlignment="1" applyProtection="1">
      <alignment/>
      <protection/>
    </xf>
    <xf numFmtId="9" fontId="0" fillId="41" borderId="0" xfId="45" applyNumberFormat="1" applyFont="1" applyFill="1" applyBorder="1" applyAlignment="1" applyProtection="1">
      <alignment horizontal="right"/>
      <protection/>
    </xf>
    <xf numFmtId="1" fontId="12" fillId="43" borderId="0" xfId="45" applyNumberFormat="1" applyFont="1" applyFill="1" applyBorder="1" applyAlignment="1" applyProtection="1">
      <alignment/>
      <protection/>
    </xf>
    <xf numFmtId="0" fontId="17" fillId="44" borderId="0" xfId="0" applyFont="1" applyFill="1" applyAlignment="1">
      <alignment horizontal="right"/>
    </xf>
    <xf numFmtId="166" fontId="12" fillId="44" borderId="0" xfId="45" applyNumberFormat="1" applyFont="1" applyFill="1" applyBorder="1" applyAlignment="1" applyProtection="1">
      <alignment horizontal="right"/>
      <protection/>
    </xf>
    <xf numFmtId="0" fontId="12" fillId="44" borderId="0" xfId="0" applyFont="1" applyFill="1" applyAlignment="1">
      <alignment/>
    </xf>
    <xf numFmtId="0" fontId="31" fillId="44" borderId="0" xfId="0" applyFont="1" applyFill="1" applyAlignment="1">
      <alignment/>
    </xf>
    <xf numFmtId="0" fontId="32" fillId="44" borderId="0" xfId="0" applyFont="1" applyFill="1" applyAlignment="1">
      <alignment/>
    </xf>
    <xf numFmtId="3" fontId="31" fillId="44" borderId="0" xfId="0" applyNumberFormat="1" applyFont="1" applyFill="1" applyAlignment="1">
      <alignment/>
    </xf>
    <xf numFmtId="166" fontId="12" fillId="44" borderId="0" xfId="0" applyNumberFormat="1" applyFont="1" applyFill="1" applyAlignment="1">
      <alignment/>
    </xf>
    <xf numFmtId="2" fontId="0" fillId="41" borderId="0" xfId="0" applyNumberFormat="1" applyFill="1" applyAlignment="1">
      <alignment/>
    </xf>
    <xf numFmtId="166" fontId="12" fillId="42" borderId="0" xfId="45" applyNumberFormat="1" applyFont="1" applyFill="1" applyBorder="1" applyAlignment="1" applyProtection="1">
      <alignment/>
      <protection/>
    </xf>
    <xf numFmtId="0" fontId="0" fillId="44" borderId="0" xfId="0" applyFill="1" applyAlignment="1">
      <alignment/>
    </xf>
    <xf numFmtId="165" fontId="12" fillId="44" borderId="0" xfId="45" applyFont="1" applyFill="1" applyBorder="1" applyAlignment="1" applyProtection="1">
      <alignment/>
      <protection/>
    </xf>
    <xf numFmtId="166" fontId="0" fillId="39" borderId="0" xfId="45" applyNumberFormat="1" applyFont="1" applyFill="1" applyBorder="1" applyAlignment="1" applyProtection="1">
      <alignment/>
      <protection/>
    </xf>
    <xf numFmtId="0" fontId="0" fillId="35" borderId="0" xfId="0" applyFill="1" applyBorder="1" applyAlignment="1">
      <alignment/>
    </xf>
    <xf numFmtId="179" fontId="0" fillId="39" borderId="0" xfId="45" applyNumberFormat="1" applyFont="1" applyFill="1" applyBorder="1" applyAlignment="1" applyProtection="1">
      <alignment/>
      <protection/>
    </xf>
    <xf numFmtId="166" fontId="0" fillId="45" borderId="0" xfId="45" applyNumberFormat="1" applyFont="1" applyFill="1" applyBorder="1" applyAlignment="1" applyProtection="1">
      <alignment/>
      <protection/>
    </xf>
    <xf numFmtId="179" fontId="18" fillId="41" borderId="11" xfId="45" applyNumberFormat="1" applyFont="1" applyFill="1" applyBorder="1" applyAlignment="1" applyProtection="1">
      <alignment/>
      <protection/>
    </xf>
    <xf numFmtId="0" fontId="28" fillId="35" borderId="0" xfId="0" applyFont="1" applyFill="1" applyBorder="1" applyAlignment="1">
      <alignment/>
    </xf>
    <xf numFmtId="179" fontId="18" fillId="41" borderId="13" xfId="45" applyNumberFormat="1" applyFont="1" applyFill="1" applyBorder="1" applyAlignment="1" applyProtection="1">
      <alignment/>
      <protection/>
    </xf>
    <xf numFmtId="3" fontId="0" fillId="41" borderId="0" xfId="0" applyNumberFormat="1" applyFill="1" applyAlignment="1">
      <alignment horizontal="right"/>
    </xf>
    <xf numFmtId="179" fontId="0" fillId="41" borderId="0" xfId="45" applyNumberFormat="1" applyFont="1" applyFill="1" applyBorder="1" applyAlignment="1" applyProtection="1">
      <alignment horizontal="right"/>
      <protection/>
    </xf>
    <xf numFmtId="166" fontId="0" fillId="0" borderId="0" xfId="45" applyNumberFormat="1" applyAlignment="1">
      <alignment/>
    </xf>
    <xf numFmtId="0" fontId="0" fillId="0" borderId="0" xfId="0" applyFont="1" applyFill="1" applyBorder="1" applyAlignment="1">
      <alignment/>
    </xf>
    <xf numFmtId="166" fontId="0" fillId="33" borderId="0" xfId="0" applyNumberFormat="1" applyFont="1" applyFill="1" applyAlignment="1">
      <alignment/>
    </xf>
    <xf numFmtId="0" fontId="0"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1876425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76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1266825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57300" cy="533400"/>
        </a:xfrm>
        <a:prstGeom prst="rect">
          <a:avLst/>
        </a:prstGeom>
        <a:noFill/>
        <a:ln w="9525" cmpd="sng">
          <a:noFill/>
        </a:ln>
      </xdr:spPr>
    </xdr:pic>
    <xdr:clientData/>
  </xdr:twoCellAnchor>
  <xdr:twoCellAnchor>
    <xdr:from>
      <xdr:col>0</xdr:col>
      <xdr:colOff>9525</xdr:colOff>
      <xdr:row>0</xdr:row>
      <xdr:rowOff>0</xdr:rowOff>
    </xdr:from>
    <xdr:to>
      <xdr:col>0</xdr:col>
      <xdr:colOff>1276350</xdr:colOff>
      <xdr:row>2</xdr:row>
      <xdr:rowOff>28575</xdr:rowOff>
    </xdr:to>
    <xdr:pic>
      <xdr:nvPicPr>
        <xdr:cNvPr id="2" name="Picture 1"/>
        <xdr:cNvPicPr preferRelativeResize="1">
          <a:picLocks noChangeAspect="1"/>
        </xdr:cNvPicPr>
      </xdr:nvPicPr>
      <xdr:blipFill>
        <a:blip r:embed="rId1"/>
        <a:stretch>
          <a:fillRect/>
        </a:stretch>
      </xdr:blipFill>
      <xdr:spPr>
        <a:xfrm>
          <a:off x="9525" y="0"/>
          <a:ext cx="12668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1247775</xdr:colOff>
      <xdr:row>1</xdr:row>
      <xdr:rowOff>161925</xdr:rowOff>
    </xdr:to>
    <xdr:pic>
      <xdr:nvPicPr>
        <xdr:cNvPr id="1"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twoCellAnchor>
    <xdr:from>
      <xdr:col>0</xdr:col>
      <xdr:colOff>0</xdr:colOff>
      <xdr:row>0</xdr:row>
      <xdr:rowOff>0</xdr:rowOff>
    </xdr:from>
    <xdr:to>
      <xdr:col>0</xdr:col>
      <xdr:colOff>1247775</xdr:colOff>
      <xdr:row>1</xdr:row>
      <xdr:rowOff>161925</xdr:rowOff>
    </xdr:to>
    <xdr:pic>
      <xdr:nvPicPr>
        <xdr:cNvPr id="2" name="Picture 1"/>
        <xdr:cNvPicPr preferRelativeResize="1">
          <a:picLocks noChangeAspect="1"/>
        </xdr:cNvPicPr>
      </xdr:nvPicPr>
      <xdr:blipFill>
        <a:blip r:embed="rId1"/>
        <a:stretch>
          <a:fillRect/>
        </a:stretch>
      </xdr:blipFill>
      <xdr:spPr>
        <a:xfrm>
          <a:off x="0" y="0"/>
          <a:ext cx="1247775"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1285875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twoCellAnchor>
    <xdr:from>
      <xdr:col>0</xdr:col>
      <xdr:colOff>9525</xdr:colOff>
      <xdr:row>0</xdr:row>
      <xdr:rowOff>0</xdr:rowOff>
    </xdr:from>
    <xdr:to>
      <xdr:col>0</xdr:col>
      <xdr:colOff>1285875</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763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1276350</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twoCellAnchor>
    <xdr:from>
      <xdr:col>0</xdr:col>
      <xdr:colOff>9525</xdr:colOff>
      <xdr:row>0</xdr:row>
      <xdr:rowOff>0</xdr:rowOff>
    </xdr:from>
    <xdr:to>
      <xdr:col>0</xdr:col>
      <xdr:colOff>1276350</xdr:colOff>
      <xdr:row>2</xdr:row>
      <xdr:rowOff>0</xdr:rowOff>
    </xdr:to>
    <xdr:pic>
      <xdr:nvPicPr>
        <xdr:cNvPr id="2" name="Picture 1"/>
        <xdr:cNvPicPr preferRelativeResize="1">
          <a:picLocks noChangeAspect="1"/>
        </xdr:cNvPicPr>
      </xdr:nvPicPr>
      <xdr:blipFill>
        <a:blip r:embed="rId1"/>
        <a:stretch>
          <a:fillRect/>
        </a:stretch>
      </xdr:blipFill>
      <xdr:spPr>
        <a:xfrm>
          <a:off x="9525" y="0"/>
          <a:ext cx="12668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1076325</xdr:colOff>
      <xdr:row>2</xdr:row>
      <xdr:rowOff>47625</xdr:rowOff>
    </xdr:to>
    <xdr:pic>
      <xdr:nvPicPr>
        <xdr:cNvPr id="1" name="Picture 1"/>
        <xdr:cNvPicPr preferRelativeResize="1">
          <a:picLocks noChangeAspect="1"/>
        </xdr:cNvPicPr>
      </xdr:nvPicPr>
      <xdr:blipFill>
        <a:blip r:embed="rId1"/>
        <a:stretch>
          <a:fillRect/>
        </a:stretch>
      </xdr:blipFill>
      <xdr:spPr>
        <a:xfrm>
          <a:off x="0" y="38100"/>
          <a:ext cx="1076325" cy="542925"/>
        </a:xfrm>
        <a:prstGeom prst="rect">
          <a:avLst/>
        </a:prstGeom>
        <a:noFill/>
        <a:ln w="9525" cmpd="sng">
          <a:noFill/>
        </a:ln>
      </xdr:spPr>
    </xdr:pic>
    <xdr:clientData/>
  </xdr:twoCellAnchor>
  <xdr:twoCellAnchor>
    <xdr:from>
      <xdr:col>0</xdr:col>
      <xdr:colOff>0</xdr:colOff>
      <xdr:row>0</xdr:row>
      <xdr:rowOff>38100</xdr:rowOff>
    </xdr:from>
    <xdr:to>
      <xdr:col>0</xdr:col>
      <xdr:colOff>1076325</xdr:colOff>
      <xdr:row>2</xdr:row>
      <xdr:rowOff>47625</xdr:rowOff>
    </xdr:to>
    <xdr:pic>
      <xdr:nvPicPr>
        <xdr:cNvPr id="2" name="Picture 1"/>
        <xdr:cNvPicPr preferRelativeResize="1">
          <a:picLocks noChangeAspect="1"/>
        </xdr:cNvPicPr>
      </xdr:nvPicPr>
      <xdr:blipFill>
        <a:blip r:embed="rId1"/>
        <a:stretch>
          <a:fillRect/>
        </a:stretch>
      </xdr:blipFill>
      <xdr:spPr>
        <a:xfrm>
          <a:off x="0" y="38100"/>
          <a:ext cx="10763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5"/>
  <cols>
    <col min="1" max="1" width="90.140625" style="1" customWidth="1"/>
    <col min="2" max="16384" width="9.140625" style="1" customWidth="1"/>
  </cols>
  <sheetData>
    <row r="1" ht="12.75">
      <c r="A1" s="2"/>
    </row>
    <row r="2" ht="12.75">
      <c r="A2" s="2"/>
    </row>
    <row r="3" ht="23.25">
      <c r="A3" s="3"/>
    </row>
    <row r="4" ht="12.75">
      <c r="A4" s="2"/>
    </row>
    <row r="5" ht="12.75">
      <c r="A5" s="2"/>
    </row>
    <row r="6" ht="12.75">
      <c r="A6" s="2"/>
    </row>
    <row r="7" ht="98.25" customHeight="1">
      <c r="A7" s="4" t="s">
        <v>113</v>
      </c>
    </row>
    <row r="8" ht="31.5">
      <c r="A8" s="5" t="s">
        <v>122</v>
      </c>
    </row>
    <row r="9" ht="31.5">
      <c r="A9" s="6" t="s">
        <v>163</v>
      </c>
    </row>
    <row r="10" ht="31.5">
      <c r="A10" s="66" t="s">
        <v>178</v>
      </c>
    </row>
    <row r="11" ht="31.5">
      <c r="A11" s="6"/>
    </row>
    <row r="12" ht="63">
      <c r="A12" s="7" t="s">
        <v>124</v>
      </c>
    </row>
    <row r="13" ht="15.75">
      <c r="A13" s="8"/>
    </row>
    <row r="14" ht="12.75">
      <c r="A14" s="9" t="s">
        <v>0</v>
      </c>
    </row>
    <row r="15" ht="12.75">
      <c r="A15" s="56" t="s">
        <v>1</v>
      </c>
    </row>
    <row r="18" ht="15.75">
      <c r="A18" s="10"/>
    </row>
    <row r="19" ht="15.75">
      <c r="A19" s="10"/>
    </row>
    <row r="20" ht="12.75">
      <c r="A20" s="2"/>
    </row>
    <row r="21" ht="12.75">
      <c r="A21" s="2"/>
    </row>
    <row r="22" ht="12.75">
      <c r="A22" s="2"/>
    </row>
    <row r="23" ht="15.75">
      <c r="A23" s="11" t="s">
        <v>2</v>
      </c>
    </row>
    <row r="24" ht="12.75">
      <c r="A24" s="12" t="s">
        <v>3</v>
      </c>
    </row>
    <row r="25" ht="15.75">
      <c r="A25" s="11"/>
    </row>
    <row r="27" ht="12.75">
      <c r="A27" s="2"/>
    </row>
    <row r="28" ht="12.75">
      <c r="A28" s="13" t="s">
        <v>143</v>
      </c>
    </row>
  </sheetData>
  <sheetProtection selectLockedCells="1" selectUnlockedCells="1"/>
  <hyperlinks>
    <hyperlink ref="A24" r:id="rId1" display="phoff@groasis.com"/>
  </hyperlinks>
  <printOptions/>
  <pageMargins left="0.75" right="0.75" top="1" bottom="1" header="0.5118055555555555" footer="0.5118055555555555"/>
  <pageSetup firstPageNumber="0" useFirstPageNumber="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140625" defaultRowHeight="15"/>
  <cols>
    <col min="1" max="1" width="55.57421875" style="0" customWidth="1"/>
    <col min="2" max="2" width="11.421875" style="0" customWidth="1"/>
    <col min="3" max="3" width="17.7109375" style="0" customWidth="1"/>
    <col min="4" max="4" width="3.8515625" style="0" customWidth="1"/>
  </cols>
  <sheetData>
    <row r="1" spans="1:5" s="15" customFormat="1" ht="27" customHeight="1">
      <c r="A1" s="85" t="s">
        <v>173</v>
      </c>
      <c r="B1" s="14"/>
      <c r="C1" s="14"/>
      <c r="D1" s="94"/>
      <c r="E1" s="94"/>
    </row>
    <row r="2" spans="1:5" s="15" customFormat="1" ht="15">
      <c r="A2" s="14" t="s">
        <v>4</v>
      </c>
      <c r="B2" s="14"/>
      <c r="C2" s="14"/>
      <c r="D2" s="94"/>
      <c r="E2" s="94"/>
    </row>
    <row r="3" s="15" customFormat="1" ht="15"/>
    <row r="4" s="15" customFormat="1" ht="15">
      <c r="A4" s="16" t="s">
        <v>5</v>
      </c>
    </row>
    <row r="5" spans="1:5" s="15" customFormat="1" ht="30.75" customHeight="1">
      <c r="A5" s="96" t="s">
        <v>6</v>
      </c>
      <c r="B5" s="96"/>
      <c r="C5" s="96"/>
      <c r="D5" s="96"/>
      <c r="E5" s="96"/>
    </row>
    <row r="6" spans="1:5" s="15" customFormat="1" ht="14.25" customHeight="1">
      <c r="A6"/>
      <c r="B6"/>
      <c r="C6"/>
      <c r="D6"/>
      <c r="E6"/>
    </row>
    <row r="7" ht="15" customHeight="1" thickBot="1">
      <c r="A7" t="s">
        <v>26</v>
      </c>
    </row>
    <row r="8" spans="1:3" ht="15" customHeight="1" thickBot="1">
      <c r="A8" t="s">
        <v>145</v>
      </c>
      <c r="C8" s="90"/>
    </row>
    <row r="10" ht="15.75" thickBot="1">
      <c r="A10" s="17" t="s">
        <v>7</v>
      </c>
    </row>
    <row r="11" spans="1:5" ht="15.75" thickBot="1">
      <c r="A11" s="18" t="s">
        <v>8</v>
      </c>
      <c r="B11" s="19" t="s">
        <v>9</v>
      </c>
      <c r="C11" s="67">
        <v>2000000000</v>
      </c>
      <c r="E11" s="20" t="s">
        <v>10</v>
      </c>
    </row>
    <row r="12" spans="1:5" ht="15.75" thickBot="1">
      <c r="A12" s="18" t="s">
        <v>11</v>
      </c>
      <c r="B12" s="19" t="s">
        <v>125</v>
      </c>
      <c r="C12" s="67">
        <v>60</v>
      </c>
      <c r="E12" s="20" t="s">
        <v>12</v>
      </c>
    </row>
    <row r="13" spans="1:5" ht="15.75" thickBot="1">
      <c r="A13" s="18" t="s">
        <v>13</v>
      </c>
      <c r="B13" s="19" t="s">
        <v>126</v>
      </c>
      <c r="C13" s="88">
        <v>5</v>
      </c>
      <c r="E13" s="20" t="s">
        <v>14</v>
      </c>
    </row>
    <row r="14" spans="1:5" ht="15.75" thickBot="1">
      <c r="A14" s="18" t="s">
        <v>15</v>
      </c>
      <c r="B14" s="19"/>
      <c r="C14" s="67">
        <v>250</v>
      </c>
      <c r="E14" s="20" t="s">
        <v>16</v>
      </c>
    </row>
    <row r="15" spans="1:5" ht="15.75" thickBot="1">
      <c r="A15" s="18" t="s">
        <v>17</v>
      </c>
      <c r="B15" s="19"/>
      <c r="C15" s="67">
        <v>46</v>
      </c>
      <c r="E15" s="20" t="s">
        <v>144</v>
      </c>
    </row>
    <row r="16" spans="1:4" ht="15">
      <c r="A16" s="21" t="s">
        <v>18</v>
      </c>
      <c r="B16" s="19" t="s">
        <v>19</v>
      </c>
      <c r="C16" s="21">
        <f>Emploi!C13</f>
        <v>724637.6811594203</v>
      </c>
      <c r="D16" s="20"/>
    </row>
    <row r="17" spans="1:3" ht="15">
      <c r="A17" s="19" t="s">
        <v>20</v>
      </c>
      <c r="B17" s="19" t="s">
        <v>127</v>
      </c>
      <c r="C17" s="21">
        <f>C26/C12</f>
        <v>56275.199591666664</v>
      </c>
    </row>
    <row r="18" spans="1:3" ht="15">
      <c r="A18" s="19" t="s">
        <v>21</v>
      </c>
      <c r="B18" s="19" t="s">
        <v>126</v>
      </c>
      <c r="C18" s="21">
        <f>(C26*1000000)/C11</f>
        <v>1688.2559877499998</v>
      </c>
    </row>
    <row r="19" spans="1:3" ht="15">
      <c r="A19" s="19" t="s">
        <v>22</v>
      </c>
      <c r="B19" s="64"/>
      <c r="C19" s="21">
        <f>Emploi!C53</f>
        <v>7481233.666666667</v>
      </c>
    </row>
    <row r="20" spans="1:3" ht="15">
      <c r="A20" s="19" t="s">
        <v>23</v>
      </c>
      <c r="B20" s="19" t="s">
        <v>128</v>
      </c>
      <c r="C20" s="21">
        <f>'La pépinière'!C26</f>
        <v>77717391.30434781</v>
      </c>
    </row>
    <row r="21" spans="1:3" ht="15">
      <c r="A21" s="19" t="s">
        <v>169</v>
      </c>
      <c r="B21" s="64">
        <v>15</v>
      </c>
      <c r="C21" s="21">
        <f>C11*B21</f>
        <v>30000000000</v>
      </c>
    </row>
    <row r="22" spans="1:3" ht="15">
      <c r="A22" s="19" t="s">
        <v>179</v>
      </c>
      <c r="B22" s="19">
        <v>1</v>
      </c>
      <c r="C22" s="84">
        <f>C21*B22</f>
        <v>30000000000</v>
      </c>
    </row>
    <row r="23" spans="1:3" ht="15.75" thickBot="1">
      <c r="A23" s="19" t="s">
        <v>180</v>
      </c>
      <c r="B23" s="95">
        <f>50+(C12/2)</f>
        <v>80</v>
      </c>
      <c r="C23" s="86">
        <f>C22*B23</f>
        <v>2400000000000</v>
      </c>
    </row>
    <row r="24" spans="1:3" ht="15.75" thickBot="1">
      <c r="A24" s="19" t="s">
        <v>181</v>
      </c>
      <c r="B24" s="19"/>
      <c r="C24" s="68">
        <f>(C26*1000000)/C23</f>
        <v>1.4068799897916664</v>
      </c>
    </row>
    <row r="25" spans="1:3" ht="15.75" thickBot="1">
      <c r="A25" s="19" t="s">
        <v>24</v>
      </c>
      <c r="B25" s="19"/>
      <c r="C25" s="21">
        <f>'Coûts de la plantation'!C16*'Coûts de la plantation'!C22*'Coûts de la plantation'!C8</f>
        <v>900000000000</v>
      </c>
    </row>
    <row r="26" spans="1:3" ht="15.75" thickBot="1">
      <c r="A26" s="62" t="s">
        <v>25</v>
      </c>
      <c r="B26" s="62" t="s">
        <v>127</v>
      </c>
      <c r="C26" s="63">
        <f>'Coûts de la plantation'!C59*'Coûts de la plantation'!C8/1000000</f>
        <v>3376511.9754999997</v>
      </c>
    </row>
    <row r="27" spans="1:3" s="24" customFormat="1" ht="15">
      <c r="A27" s="22"/>
      <c r="B27" s="22"/>
      <c r="C27" s="23"/>
    </row>
  </sheetData>
  <sheetProtection selectLockedCells="1" selectUnlockedCells="1"/>
  <mergeCells count="1">
    <mergeCell ref="A5:E5"/>
  </mergeCells>
  <printOptions/>
  <pageMargins left="0.7" right="0.7" top="0.75" bottom="0.75" header="0.5118055555555555" footer="0.5118055555555555"/>
  <pageSetup firstPageNumber="0" useFirstPageNumber="1"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P60"/>
  <sheetViews>
    <sheetView zoomScalePageLayoutView="0" workbookViewId="0" topLeftCell="A1">
      <selection activeCell="D1" sqref="D1:E2"/>
    </sheetView>
  </sheetViews>
  <sheetFormatPr defaultColWidth="37.28125" defaultRowHeight="15"/>
  <cols>
    <col min="1" max="1" width="51.57421875" style="0" customWidth="1"/>
    <col min="2" max="2" width="14.00390625" style="0" customWidth="1"/>
    <col min="3" max="3" width="17.140625" style="0" customWidth="1"/>
    <col min="4" max="4" width="4.421875" style="0" customWidth="1"/>
    <col min="5" max="5" width="10.00390625" style="0" customWidth="1"/>
    <col min="6" max="6" width="11.00390625" style="0" customWidth="1"/>
    <col min="7" max="7" width="11.28125" style="0" customWidth="1"/>
    <col min="8" max="8" width="9.8515625" style="0" customWidth="1"/>
    <col min="9" max="9" width="8.57421875" style="0" customWidth="1"/>
    <col min="10" max="10" width="8.421875" style="0" customWidth="1"/>
    <col min="11" max="11" width="10.421875" style="0" customWidth="1"/>
    <col min="12" max="12" width="9.140625" style="0" customWidth="1"/>
    <col min="13" max="13" width="11.421875" style="0" customWidth="1"/>
    <col min="14" max="14" width="11.00390625" style="0" customWidth="1"/>
    <col min="15" max="15" width="10.140625" style="0" customWidth="1"/>
  </cols>
  <sheetData>
    <row r="1" spans="1:5" s="15" customFormat="1" ht="27" customHeight="1">
      <c r="A1" s="85" t="s">
        <v>174</v>
      </c>
      <c r="B1" s="14"/>
      <c r="C1" s="14"/>
      <c r="D1" s="94"/>
      <c r="E1" s="94"/>
    </row>
    <row r="2" spans="1:5" s="15" customFormat="1" ht="15">
      <c r="A2" s="14" t="s">
        <v>4</v>
      </c>
      <c r="B2" s="14"/>
      <c r="C2" s="14"/>
      <c r="D2" s="94"/>
      <c r="E2" s="94"/>
    </row>
    <row r="4" ht="15">
      <c r="A4" t="s">
        <v>27</v>
      </c>
    </row>
    <row r="6" spans="1:3" ht="15">
      <c r="A6" s="26" t="s">
        <v>129</v>
      </c>
      <c r="B6" s="27" t="s">
        <v>130</v>
      </c>
      <c r="C6" s="28" t="s">
        <v>131</v>
      </c>
    </row>
    <row r="8" spans="1:3" ht="15">
      <c r="A8" t="s">
        <v>132</v>
      </c>
      <c r="B8" t="s">
        <v>133</v>
      </c>
      <c r="C8" s="23">
        <f>'Introduction et chiffres clés'!C11</f>
        <v>2000000000</v>
      </c>
    </row>
    <row r="9" spans="1:3" ht="15">
      <c r="A9" t="s">
        <v>134</v>
      </c>
      <c r="B9" t="s">
        <v>125</v>
      </c>
      <c r="C9" s="87">
        <f>'Introduction et chiffres clés'!C12</f>
        <v>60</v>
      </c>
    </row>
    <row r="10" ht="15">
      <c r="C10" s="24"/>
    </row>
    <row r="11" spans="1:3" ht="15">
      <c r="A11" t="s">
        <v>28</v>
      </c>
      <c r="B11" t="s">
        <v>126</v>
      </c>
      <c r="C11" s="23">
        <f>Emploi!C42*'Introduction et chiffres clés'!C13</f>
        <v>40</v>
      </c>
    </row>
    <row r="12" spans="1:3" ht="15">
      <c r="A12" s="29" t="s">
        <v>29</v>
      </c>
      <c r="B12" s="29" t="s">
        <v>135</v>
      </c>
      <c r="C12" s="30">
        <f>C11</f>
        <v>40</v>
      </c>
    </row>
    <row r="14" spans="1:3" ht="15">
      <c r="A14" t="s">
        <v>30</v>
      </c>
      <c r="C14" s="31">
        <f>'Introduction et chiffres clés'!C14</f>
        <v>250</v>
      </c>
    </row>
    <row r="15" spans="1:14" ht="15">
      <c r="A15" t="s">
        <v>31</v>
      </c>
      <c r="C15" s="69">
        <v>2</v>
      </c>
      <c r="E15" s="20" t="s">
        <v>32</v>
      </c>
      <c r="M15" s="33">
        <v>1</v>
      </c>
      <c r="N15" s="33">
        <v>2</v>
      </c>
    </row>
    <row r="16" spans="1:3" ht="15">
      <c r="A16" t="s">
        <v>33</v>
      </c>
      <c r="C16" s="31">
        <f>C14*C15</f>
        <v>500</v>
      </c>
    </row>
    <row r="17" spans="1:14" ht="15">
      <c r="A17" t="s">
        <v>34</v>
      </c>
      <c r="C17" s="69">
        <v>2</v>
      </c>
      <c r="E17" s="20" t="s">
        <v>35</v>
      </c>
      <c r="M17" s="33">
        <v>1</v>
      </c>
      <c r="N17" s="33">
        <v>2</v>
      </c>
    </row>
    <row r="18" spans="1:5" ht="15">
      <c r="A18" t="s">
        <v>36</v>
      </c>
      <c r="B18" t="s">
        <v>126</v>
      </c>
      <c r="C18" s="32">
        <v>0.25</v>
      </c>
      <c r="E18" s="20" t="s">
        <v>146</v>
      </c>
    </row>
    <row r="19" spans="1:5" ht="15">
      <c r="A19" t="s">
        <v>37</v>
      </c>
      <c r="B19" t="s">
        <v>126</v>
      </c>
      <c r="C19" s="80">
        <v>0.25</v>
      </c>
      <c r="E19" s="20" t="s">
        <v>146</v>
      </c>
    </row>
    <row r="20" spans="1:3" ht="15">
      <c r="A20" s="29" t="s">
        <v>38</v>
      </c>
      <c r="B20" s="29" t="s">
        <v>135</v>
      </c>
      <c r="C20" s="36">
        <f>IF(C17=M17,(C16*C18),(((C16/2)*C18)+((C16/2)*C19)))</f>
        <v>125</v>
      </c>
    </row>
    <row r="22" spans="1:3" ht="15">
      <c r="A22" t="s">
        <v>39</v>
      </c>
      <c r="B22" t="s">
        <v>40</v>
      </c>
      <c r="C22" s="37">
        <v>0.9</v>
      </c>
    </row>
    <row r="23" spans="1:3" ht="15">
      <c r="A23" t="s">
        <v>41</v>
      </c>
      <c r="C23" s="38">
        <f>C22*C16</f>
        <v>450</v>
      </c>
    </row>
    <row r="24" spans="1:3" ht="15">
      <c r="A24" t="s">
        <v>42</v>
      </c>
      <c r="B24" t="s">
        <v>128</v>
      </c>
      <c r="C24" s="39">
        <f>ROUND(10000/(C16*C22),0)</f>
        <v>22</v>
      </c>
    </row>
    <row r="26" spans="1:5" s="51" customFormat="1" ht="15">
      <c r="A26" s="51" t="s">
        <v>43</v>
      </c>
      <c r="B26" s="51" t="s">
        <v>126</v>
      </c>
      <c r="C26" s="52">
        <v>15</v>
      </c>
      <c r="E26" s="53" t="s">
        <v>44</v>
      </c>
    </row>
    <row r="27" spans="1:5" s="51" customFormat="1" ht="15">
      <c r="A27" s="54" t="s">
        <v>45</v>
      </c>
      <c r="B27" s="54" t="s">
        <v>135</v>
      </c>
      <c r="C27" s="55">
        <f>(((C26/10)+5%)*C14)</f>
        <v>387.5</v>
      </c>
      <c r="E27" s="53" t="s">
        <v>123</v>
      </c>
    </row>
    <row r="29" spans="1:3" ht="15">
      <c r="A29" t="s">
        <v>46</v>
      </c>
      <c r="C29" s="38">
        <f>C14</f>
        <v>250</v>
      </c>
    </row>
    <row r="30" spans="1:3" ht="15">
      <c r="A30" t="s">
        <v>47</v>
      </c>
      <c r="B30" t="s">
        <v>126</v>
      </c>
      <c r="C30" s="35">
        <v>0.18</v>
      </c>
    </row>
    <row r="31" spans="1:3" ht="15">
      <c r="A31" t="s">
        <v>147</v>
      </c>
      <c r="B31" t="s">
        <v>126</v>
      </c>
      <c r="C31" s="40">
        <f>'Introduction et chiffres clés'!C13/Emploi!C23</f>
        <v>0.16666666666666666</v>
      </c>
    </row>
    <row r="32" spans="1:3" ht="15">
      <c r="A32" s="29" t="s">
        <v>48</v>
      </c>
      <c r="B32" s="29" t="s">
        <v>135</v>
      </c>
      <c r="C32" s="30">
        <f>C29*(C30+C31)</f>
        <v>86.66666666666667</v>
      </c>
    </row>
    <row r="34" spans="1:3" ht="15">
      <c r="A34" t="s">
        <v>148</v>
      </c>
      <c r="B34" s="34" t="s">
        <v>126</v>
      </c>
      <c r="C34" s="65">
        <f>'Introduction et chiffres clés'!C13/Emploi!C28</f>
        <v>0.625</v>
      </c>
    </row>
    <row r="35" spans="1:3" ht="30">
      <c r="A35" s="42" t="s">
        <v>149</v>
      </c>
      <c r="B35" s="34" t="s">
        <v>126</v>
      </c>
      <c r="C35" s="40">
        <f>Emploi!C49/Emploi!C29</f>
        <v>0.546875</v>
      </c>
    </row>
    <row r="36" spans="1:3" ht="15">
      <c r="A36" s="29" t="s">
        <v>49</v>
      </c>
      <c r="B36" s="29" t="s">
        <v>135</v>
      </c>
      <c r="C36" s="36">
        <f>(C34+C35)*C14</f>
        <v>292.96875</v>
      </c>
    </row>
    <row r="38" spans="1:16" ht="15">
      <c r="A38" t="s">
        <v>50</v>
      </c>
      <c r="B38" t="s">
        <v>51</v>
      </c>
      <c r="C38" s="32">
        <v>60</v>
      </c>
      <c r="E38" s="50" t="s">
        <v>150</v>
      </c>
      <c r="F38" s="24"/>
      <c r="G38" s="24"/>
      <c r="H38" s="24"/>
      <c r="I38" s="24"/>
      <c r="J38" s="24"/>
      <c r="K38" s="24"/>
      <c r="L38" s="24"/>
      <c r="M38" s="24"/>
      <c r="N38" s="24"/>
      <c r="O38" s="24"/>
      <c r="P38" s="24"/>
    </row>
    <row r="39" spans="1:3" ht="15">
      <c r="A39" t="s">
        <v>120</v>
      </c>
      <c r="B39" s="34" t="s">
        <v>126</v>
      </c>
      <c r="C39" s="69">
        <v>0.01</v>
      </c>
    </row>
    <row r="40" spans="1:3" ht="15">
      <c r="A40" s="29" t="s">
        <v>151</v>
      </c>
      <c r="B40" s="29" t="s">
        <v>135</v>
      </c>
      <c r="C40" s="29">
        <f>C39*(C38*C14)</f>
        <v>150</v>
      </c>
    </row>
    <row r="42" spans="1:3" ht="15">
      <c r="A42" s="29" t="s">
        <v>121</v>
      </c>
      <c r="B42" s="29"/>
      <c r="C42" s="29">
        <f>(C14/Emploi!C39)*'Introduction et chiffres clés'!C13</f>
        <v>62.5</v>
      </c>
    </row>
    <row r="44" spans="1:3" ht="15">
      <c r="A44" t="s">
        <v>165</v>
      </c>
      <c r="B44" s="24" t="s">
        <v>164</v>
      </c>
      <c r="C44" s="32">
        <v>0.3</v>
      </c>
    </row>
    <row r="45" spans="1:3" ht="15">
      <c r="A45" s="29" t="s">
        <v>166</v>
      </c>
      <c r="B45" s="49" t="s">
        <v>164</v>
      </c>
      <c r="C45" s="49">
        <f>C16*C44</f>
        <v>150</v>
      </c>
    </row>
    <row r="47" spans="1:3" ht="15">
      <c r="A47" t="s">
        <v>152</v>
      </c>
      <c r="C47" s="69">
        <v>0.05</v>
      </c>
    </row>
    <row r="48" spans="1:3" ht="15">
      <c r="A48" t="s">
        <v>153</v>
      </c>
      <c r="C48">
        <f>'Introduction et chiffres clés'!$C$13/('Coûts de la plantation'!C14/Emploi!C32)</f>
        <v>0.24000000000000002</v>
      </c>
    </row>
    <row r="49" spans="1:3" ht="15">
      <c r="A49" s="29" t="s">
        <v>115</v>
      </c>
      <c r="B49" s="29"/>
      <c r="C49" s="29">
        <f>(C47+C48)*C14</f>
        <v>72.50000000000001</v>
      </c>
    </row>
    <row r="51" spans="1:3" ht="15">
      <c r="A51" s="49" t="s">
        <v>52</v>
      </c>
      <c r="B51" s="49" t="s">
        <v>135</v>
      </c>
      <c r="C51" s="30">
        <f>('Flux de processus de gestion'!E28+'Flux de processus de gestion'!H28)/'Flux de processus de gestion'!C7</f>
        <v>72.128</v>
      </c>
    </row>
    <row r="53" spans="1:3" ht="15">
      <c r="A53" t="s">
        <v>167</v>
      </c>
      <c r="B53" s="24" t="s">
        <v>40</v>
      </c>
      <c r="C53" s="57">
        <v>0.02</v>
      </c>
    </row>
    <row r="54" spans="1:3" ht="15">
      <c r="A54" t="s">
        <v>168</v>
      </c>
      <c r="B54" s="49" t="s">
        <v>164</v>
      </c>
      <c r="C54" s="30">
        <f>C53*(C51+C49+C45+C42+C40+C36+C32+C27+C20+C12)</f>
        <v>28.785268333333335</v>
      </c>
    </row>
    <row r="56" spans="1:3" ht="15">
      <c r="A56" t="s">
        <v>136</v>
      </c>
      <c r="B56" t="s">
        <v>40</v>
      </c>
      <c r="C56" s="58">
        <v>0.15</v>
      </c>
    </row>
    <row r="57" spans="1:3" ht="15">
      <c r="A57" s="29" t="s">
        <v>53</v>
      </c>
      <c r="B57" s="29" t="s">
        <v>135</v>
      </c>
      <c r="C57" s="30">
        <f>C56*(C54+C51+C49+C45+C42+C40+C36+C32+C27+C20+C12)</f>
        <v>220.20730275</v>
      </c>
    </row>
    <row r="59" spans="1:3" ht="15">
      <c r="A59" s="75" t="s">
        <v>54</v>
      </c>
      <c r="B59" s="75" t="s">
        <v>55</v>
      </c>
      <c r="C59" s="81">
        <f>C12+C20+C27+C32+C36+C40+C42+C45+C49+C51+C54+C57</f>
        <v>1688.2559877499998</v>
      </c>
    </row>
    <row r="60" spans="1:3" ht="15">
      <c r="A60" s="82"/>
      <c r="B60" s="75" t="s">
        <v>56</v>
      </c>
      <c r="C60" s="83">
        <f>C59/C16</f>
        <v>3.3765119754999997</v>
      </c>
    </row>
  </sheetData>
  <sheetProtection selectLockedCells="1" selectUnlockedCells="1"/>
  <dataValidations count="1">
    <dataValidation type="list" allowBlank="1" showErrorMessage="1" sqref="C15 C17">
      <formula1>$M$17:$N$17</formula1>
    </dataValidation>
  </dataValidations>
  <printOptions/>
  <pageMargins left="0.7" right="0.7" top="0.75" bottom="0.75" header="0.5118055555555555" footer="0.5118055555555555"/>
  <pageSetup firstPageNumber="0" useFirstPageNumber="1" horizontalDpi="300" verticalDpi="300"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1">
      <selection activeCell="A4" sqref="A4:E4"/>
    </sheetView>
  </sheetViews>
  <sheetFormatPr defaultColWidth="9.140625" defaultRowHeight="15"/>
  <cols>
    <col min="1" max="1" width="80.140625" style="0" customWidth="1"/>
    <col min="3" max="3" width="14.00390625" style="0" customWidth="1"/>
    <col min="4" max="4" width="3.140625" style="0" customWidth="1"/>
    <col min="5" max="5" width="10.57421875" style="0" customWidth="1"/>
    <col min="11" max="11" width="10.00390625" style="0" customWidth="1"/>
  </cols>
  <sheetData>
    <row r="1" spans="1:6" s="15" customFormat="1" ht="27" customHeight="1">
      <c r="A1" s="85" t="s">
        <v>175</v>
      </c>
      <c r="B1" s="14"/>
      <c r="C1" s="14"/>
      <c r="D1" s="22"/>
      <c r="E1" s="22"/>
      <c r="F1" s="22"/>
    </row>
    <row r="2" spans="1:6" s="15" customFormat="1" ht="15">
      <c r="A2" s="14" t="s">
        <v>4</v>
      </c>
      <c r="B2" s="14"/>
      <c r="C2" s="14"/>
      <c r="D2" s="22"/>
      <c r="E2" s="22"/>
      <c r="F2" s="22"/>
    </row>
    <row r="4" ht="15">
      <c r="A4" t="s">
        <v>57</v>
      </c>
    </row>
    <row r="6" spans="1:3" ht="15">
      <c r="A6" s="26" t="s">
        <v>129</v>
      </c>
      <c r="B6" s="27" t="s">
        <v>130</v>
      </c>
      <c r="C6" s="28" t="s">
        <v>131</v>
      </c>
    </row>
    <row r="8" spans="1:3" ht="15">
      <c r="A8" t="s">
        <v>132</v>
      </c>
      <c r="B8" t="s">
        <v>133</v>
      </c>
      <c r="C8" s="23">
        <f>'Coûts de la plantation'!C8</f>
        <v>2000000000</v>
      </c>
    </row>
    <row r="9" spans="1:3" ht="15">
      <c r="A9" t="s">
        <v>134</v>
      </c>
      <c r="B9" t="s">
        <v>125</v>
      </c>
      <c r="C9" s="23">
        <f>'Coûts de la plantation'!C9</f>
        <v>60</v>
      </c>
    </row>
    <row r="11" spans="1:3" ht="15">
      <c r="A11" t="s">
        <v>58</v>
      </c>
      <c r="B11" t="s">
        <v>133</v>
      </c>
      <c r="C11" s="23">
        <f>C8/C9</f>
        <v>33333333.333333332</v>
      </c>
    </row>
    <row r="12" spans="1:3" ht="15">
      <c r="A12" t="s">
        <v>154</v>
      </c>
      <c r="B12" t="s">
        <v>138</v>
      </c>
      <c r="C12" s="23">
        <f>'Introduction et chiffres clés'!C15</f>
        <v>46</v>
      </c>
    </row>
    <row r="13" spans="1:3" ht="15">
      <c r="A13" t="s">
        <v>59</v>
      </c>
      <c r="B13" t="s">
        <v>133</v>
      </c>
      <c r="C13" s="43">
        <f>C11/C12</f>
        <v>724637.6811594203</v>
      </c>
    </row>
    <row r="15" spans="1:3" ht="15">
      <c r="A15" t="s">
        <v>60</v>
      </c>
      <c r="C15" s="44">
        <f>C13*'Coûts de la plantation'!C14</f>
        <v>181159420.28985506</v>
      </c>
    </row>
    <row r="16" spans="1:3" ht="15">
      <c r="A16" t="s">
        <v>61</v>
      </c>
      <c r="C16" s="44">
        <f>C13*'Coûts de la plantation'!C16</f>
        <v>362318840.5797101</v>
      </c>
    </row>
    <row r="18" spans="1:3" ht="15">
      <c r="A18" t="s">
        <v>62</v>
      </c>
      <c r="B18" t="s">
        <v>63</v>
      </c>
      <c r="C18" s="32">
        <v>5</v>
      </c>
    </row>
    <row r="19" spans="1:3" ht="15">
      <c r="A19" t="s">
        <v>64</v>
      </c>
      <c r="B19" t="s">
        <v>139</v>
      </c>
      <c r="C19" s="32">
        <v>8</v>
      </c>
    </row>
    <row r="20" spans="1:3" ht="15">
      <c r="A20" t="s">
        <v>155</v>
      </c>
      <c r="C20" s="44">
        <f>C15/C18</f>
        <v>36231884.057971016</v>
      </c>
    </row>
    <row r="22" spans="1:3" ht="15">
      <c r="A22" t="s">
        <v>65</v>
      </c>
      <c r="B22" t="s">
        <v>139</v>
      </c>
      <c r="C22" s="32">
        <v>12</v>
      </c>
    </row>
    <row r="23" spans="1:3" ht="15">
      <c r="A23" t="s">
        <v>66</v>
      </c>
      <c r="C23" s="32">
        <v>30</v>
      </c>
    </row>
    <row r="24" spans="1:3" ht="15">
      <c r="A24" t="s">
        <v>67</v>
      </c>
      <c r="C24" s="38">
        <f>C22*C23</f>
        <v>360</v>
      </c>
    </row>
    <row r="25" spans="1:3" ht="15">
      <c r="A25" t="s">
        <v>68</v>
      </c>
      <c r="C25" s="44">
        <f>ROUND(C20/C24,0)</f>
        <v>100644</v>
      </c>
    </row>
    <row r="26" spans="1:12" ht="15">
      <c r="A26" s="29" t="s">
        <v>69</v>
      </c>
      <c r="B26" s="29"/>
      <c r="C26" s="30">
        <f>ROUND(C25*C22/C19,0)</f>
        <v>150966</v>
      </c>
      <c r="L26" s="45"/>
    </row>
    <row r="28" spans="1:3" ht="15">
      <c r="A28" t="s">
        <v>116</v>
      </c>
      <c r="C28" s="32">
        <v>8</v>
      </c>
    </row>
    <row r="29" spans="1:3" ht="15">
      <c r="A29" t="s">
        <v>70</v>
      </c>
      <c r="C29" s="38">
        <f>C19*C28</f>
        <v>64</v>
      </c>
    </row>
    <row r="30" spans="1:3" ht="15">
      <c r="A30" s="29" t="s">
        <v>71</v>
      </c>
      <c r="B30" s="29"/>
      <c r="C30" s="30">
        <f>ROUND(C20/C29,0)</f>
        <v>566123</v>
      </c>
    </row>
    <row r="32" spans="1:3" ht="15">
      <c r="A32" s="34" t="s">
        <v>72</v>
      </c>
      <c r="C32" s="32">
        <v>12</v>
      </c>
    </row>
    <row r="33" spans="1:3" ht="15">
      <c r="A33" s="34" t="s">
        <v>73</v>
      </c>
      <c r="C33" s="38">
        <f>C19*C32</f>
        <v>96</v>
      </c>
    </row>
    <row r="34" spans="1:5" ht="15">
      <c r="A34" s="29" t="s">
        <v>74</v>
      </c>
      <c r="C34" s="49">
        <f>ROUND(C20/C33,0)</f>
        <v>377415</v>
      </c>
      <c r="E34" s="20" t="s">
        <v>156</v>
      </c>
    </row>
    <row r="35" ht="15">
      <c r="A35" s="29"/>
    </row>
    <row r="36" spans="1:3" ht="15">
      <c r="A36" s="29" t="s">
        <v>119</v>
      </c>
      <c r="B36" s="29"/>
      <c r="C36" s="32">
        <v>100</v>
      </c>
    </row>
    <row r="37" spans="1:3" ht="15">
      <c r="A37" s="29" t="s">
        <v>117</v>
      </c>
      <c r="B37" s="29"/>
      <c r="C37" s="30">
        <f>((C15/C18)/C36)/C19</f>
        <v>45289.85507246377</v>
      </c>
    </row>
    <row r="38" spans="1:3" ht="15">
      <c r="A38" s="29"/>
      <c r="B38" s="29"/>
      <c r="C38" s="30"/>
    </row>
    <row r="39" spans="1:5" ht="15">
      <c r="A39" s="29" t="s">
        <v>118</v>
      </c>
      <c r="B39" s="29"/>
      <c r="C39" s="32">
        <v>20</v>
      </c>
      <c r="E39" s="20" t="s">
        <v>150</v>
      </c>
    </row>
    <row r="40" spans="1:3" ht="15">
      <c r="A40" s="29" t="s">
        <v>75</v>
      </c>
      <c r="B40" s="29"/>
      <c r="C40" s="30">
        <f>((C15/C18)/C39)/C19</f>
        <v>226449.27536231885</v>
      </c>
    </row>
    <row r="42" spans="1:3" ht="15">
      <c r="A42" t="s">
        <v>157</v>
      </c>
      <c r="B42" t="s">
        <v>139</v>
      </c>
      <c r="C42" s="32">
        <v>8</v>
      </c>
    </row>
    <row r="43" spans="1:3" ht="15">
      <c r="A43" t="s">
        <v>76</v>
      </c>
      <c r="B43" t="s">
        <v>133</v>
      </c>
      <c r="C43" s="44">
        <f>C13/C18</f>
        <v>144927.53623188406</v>
      </c>
    </row>
    <row r="44" spans="1:3" ht="15">
      <c r="A44" s="29" t="s">
        <v>77</v>
      </c>
      <c r="C44" s="30">
        <f>(C43*C42)/C19</f>
        <v>144927.53623188406</v>
      </c>
    </row>
    <row r="46" spans="1:3" ht="15">
      <c r="A46" t="s">
        <v>136</v>
      </c>
      <c r="B46" t="s">
        <v>40</v>
      </c>
      <c r="C46" s="45">
        <v>0.15</v>
      </c>
    </row>
    <row r="47" spans="1:3" ht="15">
      <c r="A47" s="29" t="s">
        <v>158</v>
      </c>
      <c r="B47" s="29"/>
      <c r="C47" s="30">
        <f>ROUND(C46*(C44+C40+C37+C30+C26),0)</f>
        <v>170063</v>
      </c>
    </row>
    <row r="49" spans="1:3" ht="15">
      <c r="A49" t="s">
        <v>114</v>
      </c>
      <c r="C49" s="32">
        <v>35</v>
      </c>
    </row>
    <row r="51" spans="1:3" ht="15">
      <c r="A51" s="29" t="s">
        <v>78</v>
      </c>
      <c r="B51" s="29"/>
      <c r="C51" s="36">
        <f>'Flux de processus de gestion'!C28*('Introduction et chiffres clés'!C11/'Flux de processus de gestion'!C7)</f>
        <v>5800000</v>
      </c>
    </row>
    <row r="53" spans="1:3" ht="15">
      <c r="A53" s="75" t="s">
        <v>79</v>
      </c>
      <c r="B53" s="75"/>
      <c r="C53" s="79">
        <f>C51+C47+C44+C40+C37+C34+C30+C26</f>
        <v>7481233.666666667</v>
      </c>
    </row>
    <row r="56" spans="3:7" ht="15">
      <c r="C56" s="23"/>
      <c r="G56" s="20"/>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scale="78"/>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66.421875" style="0" customWidth="1"/>
    <col min="2" max="2" width="17.57421875" style="0" customWidth="1"/>
    <col min="3" max="3" width="13.421875" style="0" customWidth="1"/>
    <col min="4" max="4" width="4.57421875" style="0" customWidth="1"/>
  </cols>
  <sheetData>
    <row r="1" spans="1:5" s="15" customFormat="1" ht="27" customHeight="1">
      <c r="A1" s="85" t="s">
        <v>172</v>
      </c>
      <c r="B1" s="14"/>
      <c r="C1" s="14"/>
      <c r="D1" s="22"/>
      <c r="E1" s="22"/>
    </row>
    <row r="2" spans="1:5" s="15" customFormat="1" ht="15">
      <c r="A2" s="14" t="s">
        <v>4</v>
      </c>
      <c r="B2" s="14"/>
      <c r="C2" s="14"/>
      <c r="D2" s="22"/>
      <c r="E2" s="22"/>
    </row>
    <row r="4" ht="15">
      <c r="A4" t="s">
        <v>80</v>
      </c>
    </row>
    <row r="6" spans="1:3" ht="15">
      <c r="A6" s="26" t="s">
        <v>129</v>
      </c>
      <c r="B6" s="27" t="s">
        <v>130</v>
      </c>
      <c r="C6" s="28" t="s">
        <v>131</v>
      </c>
    </row>
    <row r="8" spans="1:3" ht="15">
      <c r="A8" t="s">
        <v>81</v>
      </c>
      <c r="B8" t="s">
        <v>138</v>
      </c>
      <c r="C8" s="32">
        <v>52</v>
      </c>
    </row>
    <row r="10" spans="1:3" ht="15">
      <c r="A10" t="s">
        <v>82</v>
      </c>
      <c r="B10" t="s">
        <v>140</v>
      </c>
      <c r="C10" s="32">
        <v>400</v>
      </c>
    </row>
    <row r="11" spans="1:3" ht="15">
      <c r="A11" t="s">
        <v>83</v>
      </c>
      <c r="B11" t="s">
        <v>140</v>
      </c>
      <c r="C11" s="32">
        <v>200</v>
      </c>
    </row>
    <row r="13" spans="1:3" ht="15">
      <c r="A13" t="s">
        <v>84</v>
      </c>
      <c r="B13" s="46" t="s">
        <v>141</v>
      </c>
      <c r="C13" s="41">
        <f>C8*B13</f>
        <v>26</v>
      </c>
    </row>
    <row r="16" spans="1:3" ht="15">
      <c r="A16" t="s">
        <v>159</v>
      </c>
      <c r="C16" s="38">
        <f>Emploi!C16</f>
        <v>362318840.5797101</v>
      </c>
    </row>
    <row r="17" spans="1:3" ht="15">
      <c r="A17" t="s">
        <v>85</v>
      </c>
      <c r="B17" s="37" t="s">
        <v>137</v>
      </c>
      <c r="C17" s="44">
        <f>C16*B17</f>
        <v>36231884.057971016</v>
      </c>
    </row>
    <row r="18" spans="1:3" ht="15">
      <c r="A18" t="s">
        <v>160</v>
      </c>
      <c r="C18" s="44">
        <f>C16+C17</f>
        <v>398550724.6376811</v>
      </c>
    </row>
    <row r="20" spans="1:3" ht="15">
      <c r="A20" t="s">
        <v>86</v>
      </c>
      <c r="B20" t="s">
        <v>128</v>
      </c>
      <c r="C20" s="44">
        <f>C18/C10</f>
        <v>996376.8115942028</v>
      </c>
    </row>
    <row r="21" spans="1:3" ht="15">
      <c r="A21" t="s">
        <v>87</v>
      </c>
      <c r="B21" t="s">
        <v>128</v>
      </c>
      <c r="C21" s="47">
        <f>C20*C13</f>
        <v>25905797.101449274</v>
      </c>
    </row>
    <row r="23" spans="1:3" ht="15">
      <c r="A23" t="s">
        <v>88</v>
      </c>
      <c r="B23" t="s">
        <v>128</v>
      </c>
      <c r="C23" s="44">
        <f>C18/C11</f>
        <v>1992753.6231884055</v>
      </c>
    </row>
    <row r="24" spans="1:3" ht="15">
      <c r="A24" t="s">
        <v>89</v>
      </c>
      <c r="B24" t="s">
        <v>128</v>
      </c>
      <c r="C24" s="47">
        <f>(C8-C13)*C23</f>
        <v>51811594.20289855</v>
      </c>
    </row>
    <row r="26" spans="1:3" ht="15">
      <c r="A26" t="s">
        <v>90</v>
      </c>
      <c r="B26" t="s">
        <v>128</v>
      </c>
      <c r="C26" s="38">
        <f>C24+C21</f>
        <v>77717391.30434781</v>
      </c>
    </row>
    <row r="27" spans="1:3" ht="15">
      <c r="A27" t="s">
        <v>91</v>
      </c>
      <c r="B27" s="45">
        <v>0.15</v>
      </c>
      <c r="C27" s="38">
        <f>C26*B27</f>
        <v>11657608.695652172</v>
      </c>
    </row>
    <row r="28" spans="2:3" ht="15">
      <c r="B28" s="45"/>
      <c r="C28" s="38"/>
    </row>
    <row r="29" spans="1:5" ht="15">
      <c r="A29" s="76" t="s">
        <v>171</v>
      </c>
      <c r="B29" s="77" t="s">
        <v>170</v>
      </c>
      <c r="C29" s="78">
        <f>SUM(C26:C27)</f>
        <v>89374999.99999999</v>
      </c>
      <c r="E29" s="20" t="s">
        <v>183</v>
      </c>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scale="75"/>
  <drawing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H1" sqref="H1:H2"/>
    </sheetView>
  </sheetViews>
  <sheetFormatPr defaultColWidth="9.140625" defaultRowHeight="15"/>
  <cols>
    <col min="1" max="1" width="17.140625" style="0" customWidth="1"/>
    <col min="2" max="2" width="66.28125" style="0" customWidth="1"/>
    <col min="3" max="3" width="10.57421875" style="0" bestFit="1" customWidth="1"/>
    <col min="4" max="4" width="11.7109375" style="0" customWidth="1"/>
    <col min="5" max="6" width="10.28125" style="0" customWidth="1"/>
    <col min="7" max="7" width="9.57421875" style="0" customWidth="1"/>
    <col min="8" max="8" width="11.57421875" style="0" bestFit="1" customWidth="1"/>
  </cols>
  <sheetData>
    <row r="1" spans="1:8" ht="27" customHeight="1">
      <c r="A1" s="48" t="s">
        <v>176</v>
      </c>
      <c r="B1" s="89" t="s">
        <v>177</v>
      </c>
      <c r="C1" s="48"/>
      <c r="D1" s="48"/>
      <c r="E1" s="48"/>
      <c r="F1" s="48"/>
      <c r="G1" s="48"/>
      <c r="H1" s="14"/>
    </row>
    <row r="2" spans="1:8" ht="15">
      <c r="A2" s="14"/>
      <c r="B2" s="14"/>
      <c r="C2" s="14"/>
      <c r="D2" s="14"/>
      <c r="E2" s="14"/>
      <c r="F2" s="14"/>
      <c r="G2" s="14"/>
      <c r="H2" s="14"/>
    </row>
    <row r="4" ht="15">
      <c r="B4" t="s">
        <v>92</v>
      </c>
    </row>
    <row r="5" spans="2:3" ht="15">
      <c r="B5" t="s">
        <v>145</v>
      </c>
      <c r="C5" s="25"/>
    </row>
    <row r="7" spans="2:3" ht="15">
      <c r="B7" t="s">
        <v>182</v>
      </c>
      <c r="C7" s="93">
        <v>10000</v>
      </c>
    </row>
    <row r="9" spans="2:8" ht="15">
      <c r="B9" s="26" t="s">
        <v>93</v>
      </c>
      <c r="C9" s="26" t="s">
        <v>94</v>
      </c>
      <c r="D9" s="26" t="s">
        <v>95</v>
      </c>
      <c r="E9" s="26" t="s">
        <v>142</v>
      </c>
      <c r="F9" s="26"/>
      <c r="G9" s="26" t="s">
        <v>96</v>
      </c>
      <c r="H9" s="26" t="s">
        <v>142</v>
      </c>
    </row>
    <row r="10" spans="2:8" ht="15">
      <c r="B10" t="s">
        <v>97</v>
      </c>
      <c r="C10" s="69">
        <v>1</v>
      </c>
      <c r="D10" s="91">
        <v>52000</v>
      </c>
      <c r="E10" s="60">
        <f>C10*D10</f>
        <v>52000</v>
      </c>
      <c r="F10" s="92">
        <v>1</v>
      </c>
      <c r="G10" s="59">
        <v>16000</v>
      </c>
      <c r="H10" s="60">
        <f>F10*G10</f>
        <v>16000</v>
      </c>
    </row>
    <row r="11" spans="2:8" ht="15">
      <c r="B11" t="s">
        <v>98</v>
      </c>
      <c r="C11" s="69">
        <v>1</v>
      </c>
      <c r="D11" s="59">
        <v>52000</v>
      </c>
      <c r="E11" s="60">
        <f aca="true" t="shared" si="0" ref="E11:E25">C11*D11</f>
        <v>52000</v>
      </c>
      <c r="F11" s="92">
        <v>1</v>
      </c>
      <c r="G11" s="59">
        <v>16000</v>
      </c>
      <c r="H11" s="60">
        <f aca="true" t="shared" si="1" ref="H11:H25">F11*G11</f>
        <v>16000</v>
      </c>
    </row>
    <row r="12" spans="2:8" ht="15">
      <c r="B12" t="s">
        <v>99</v>
      </c>
      <c r="C12" s="69">
        <v>0</v>
      </c>
      <c r="D12" s="59">
        <v>52000</v>
      </c>
      <c r="E12" s="60">
        <f t="shared" si="0"/>
        <v>0</v>
      </c>
      <c r="F12" s="92">
        <v>0</v>
      </c>
      <c r="G12" s="59">
        <v>16000</v>
      </c>
      <c r="H12" s="60">
        <f t="shared" si="1"/>
        <v>0</v>
      </c>
    </row>
    <row r="13" spans="2:8" ht="15">
      <c r="B13" t="s">
        <v>100</v>
      </c>
      <c r="C13" s="69">
        <v>1</v>
      </c>
      <c r="D13" s="59">
        <v>30000</v>
      </c>
      <c r="E13" s="60">
        <f t="shared" si="0"/>
        <v>30000</v>
      </c>
      <c r="F13" s="92">
        <v>1</v>
      </c>
      <c r="G13" s="59">
        <v>16000</v>
      </c>
      <c r="H13" s="60">
        <f t="shared" si="1"/>
        <v>16000</v>
      </c>
    </row>
    <row r="14" spans="2:8" ht="15">
      <c r="B14" t="s">
        <v>161</v>
      </c>
      <c r="C14" s="69">
        <v>1</v>
      </c>
      <c r="D14" s="59">
        <v>26000</v>
      </c>
      <c r="E14" s="60">
        <f t="shared" si="0"/>
        <v>26000</v>
      </c>
      <c r="F14" s="92">
        <v>1</v>
      </c>
      <c r="G14" s="59">
        <v>9000</v>
      </c>
      <c r="H14" s="60">
        <f t="shared" si="1"/>
        <v>9000</v>
      </c>
    </row>
    <row r="15" spans="2:8" ht="15">
      <c r="B15" t="s">
        <v>101</v>
      </c>
      <c r="C15" s="69">
        <v>1</v>
      </c>
      <c r="D15" s="59">
        <v>26000</v>
      </c>
      <c r="E15" s="60">
        <f t="shared" si="0"/>
        <v>26000</v>
      </c>
      <c r="F15" s="92">
        <v>1</v>
      </c>
      <c r="G15" s="59">
        <v>9000</v>
      </c>
      <c r="H15" s="60">
        <f t="shared" si="1"/>
        <v>9000</v>
      </c>
    </row>
    <row r="16" spans="2:8" ht="15">
      <c r="B16" t="s">
        <v>102</v>
      </c>
      <c r="C16" s="69">
        <v>1</v>
      </c>
      <c r="D16" s="59">
        <v>26000</v>
      </c>
      <c r="E16" s="60">
        <f t="shared" si="0"/>
        <v>26000</v>
      </c>
      <c r="F16" s="92">
        <v>0</v>
      </c>
      <c r="G16" s="59">
        <v>9000</v>
      </c>
      <c r="H16" s="60">
        <f t="shared" si="1"/>
        <v>0</v>
      </c>
    </row>
    <row r="17" spans="2:8" ht="15">
      <c r="B17" t="s">
        <v>103</v>
      </c>
      <c r="C17" s="69">
        <v>1</v>
      </c>
      <c r="D17" s="59">
        <v>52000</v>
      </c>
      <c r="E17" s="60">
        <f t="shared" si="0"/>
        <v>52000</v>
      </c>
      <c r="F17" s="92">
        <v>1</v>
      </c>
      <c r="G17" s="59">
        <v>9000</v>
      </c>
      <c r="H17" s="60">
        <f t="shared" si="1"/>
        <v>9000</v>
      </c>
    </row>
    <row r="18" spans="2:8" ht="15">
      <c r="B18" t="s">
        <v>104</v>
      </c>
      <c r="C18" s="69">
        <v>1</v>
      </c>
      <c r="D18" s="59">
        <v>52000</v>
      </c>
      <c r="E18" s="60">
        <f t="shared" si="0"/>
        <v>52000</v>
      </c>
      <c r="F18" s="92">
        <v>1</v>
      </c>
      <c r="G18" s="59">
        <v>9000</v>
      </c>
      <c r="H18" s="60">
        <f t="shared" si="1"/>
        <v>9000</v>
      </c>
    </row>
    <row r="19" spans="2:8" ht="15">
      <c r="B19" t="s">
        <v>105</v>
      </c>
      <c r="C19" s="69">
        <v>1</v>
      </c>
      <c r="D19" s="59">
        <v>26000</v>
      </c>
      <c r="E19" s="60">
        <f t="shared" si="0"/>
        <v>26000</v>
      </c>
      <c r="F19" s="92">
        <v>1</v>
      </c>
      <c r="G19" s="59">
        <v>9000</v>
      </c>
      <c r="H19" s="60">
        <f t="shared" si="1"/>
        <v>9000</v>
      </c>
    </row>
    <row r="20" spans="2:8" ht="15">
      <c r="B20" t="s">
        <v>106</v>
      </c>
      <c r="C20" s="69">
        <v>1</v>
      </c>
      <c r="D20" s="59">
        <v>26000</v>
      </c>
      <c r="E20" s="60">
        <f t="shared" si="0"/>
        <v>26000</v>
      </c>
      <c r="F20" s="92">
        <v>1</v>
      </c>
      <c r="G20" s="59">
        <v>9000</v>
      </c>
      <c r="H20" s="60">
        <f t="shared" si="1"/>
        <v>9000</v>
      </c>
    </row>
    <row r="21" spans="2:8" ht="15">
      <c r="B21" t="s">
        <v>107</v>
      </c>
      <c r="C21" s="69">
        <v>1</v>
      </c>
      <c r="D21" s="59">
        <v>26000</v>
      </c>
      <c r="E21" s="60">
        <f t="shared" si="0"/>
        <v>26000</v>
      </c>
      <c r="F21" s="92">
        <v>1</v>
      </c>
      <c r="G21" s="59">
        <v>9000</v>
      </c>
      <c r="H21" s="60">
        <f t="shared" si="1"/>
        <v>9000</v>
      </c>
    </row>
    <row r="22" spans="2:8" ht="15">
      <c r="B22" t="s">
        <v>108</v>
      </c>
      <c r="C22" s="69">
        <v>1</v>
      </c>
      <c r="D22" s="59">
        <v>26000</v>
      </c>
      <c r="E22" s="60">
        <f t="shared" si="0"/>
        <v>26000</v>
      </c>
      <c r="F22" s="92">
        <v>1</v>
      </c>
      <c r="G22" s="59">
        <v>9000</v>
      </c>
      <c r="H22" s="60">
        <f t="shared" si="1"/>
        <v>9000</v>
      </c>
    </row>
    <row r="23" spans="2:8" ht="15">
      <c r="B23" t="s">
        <v>109</v>
      </c>
      <c r="C23" s="69">
        <v>1</v>
      </c>
      <c r="D23" s="59">
        <v>26000</v>
      </c>
      <c r="E23" s="60">
        <f t="shared" si="0"/>
        <v>26000</v>
      </c>
      <c r="F23" s="92">
        <v>0</v>
      </c>
      <c r="G23" s="59">
        <v>9000</v>
      </c>
      <c r="H23" s="60">
        <f t="shared" si="1"/>
        <v>0</v>
      </c>
    </row>
    <row r="24" spans="2:8" ht="15">
      <c r="B24" t="s">
        <v>110</v>
      </c>
      <c r="C24" s="69">
        <v>0</v>
      </c>
      <c r="D24" s="59">
        <v>52000</v>
      </c>
      <c r="E24" s="60">
        <f t="shared" si="0"/>
        <v>0</v>
      </c>
      <c r="F24" s="92">
        <v>0</v>
      </c>
      <c r="G24" s="59">
        <v>9000</v>
      </c>
      <c r="H24" s="60">
        <f t="shared" si="1"/>
        <v>0</v>
      </c>
    </row>
    <row r="25" spans="2:8" ht="15">
      <c r="B25" t="s">
        <v>111</v>
      </c>
      <c r="C25" s="69">
        <v>3</v>
      </c>
      <c r="D25" s="59">
        <v>14400</v>
      </c>
      <c r="E25" s="60">
        <f t="shared" si="0"/>
        <v>43200</v>
      </c>
      <c r="F25" s="92">
        <v>2</v>
      </c>
      <c r="G25" s="59">
        <v>9000</v>
      </c>
      <c r="H25" s="60">
        <f t="shared" si="1"/>
        <v>18000</v>
      </c>
    </row>
    <row r="26" spans="2:8" ht="15">
      <c r="B26" t="s">
        <v>112</v>
      </c>
      <c r="C26" s="24">
        <f>SUM(C10:C25)</f>
        <v>16</v>
      </c>
      <c r="D26" s="61"/>
      <c r="E26" s="60">
        <f>SUM(E10:E25)</f>
        <v>489200</v>
      </c>
      <c r="F26" s="70">
        <f>SUM(F10:F25)</f>
        <v>13</v>
      </c>
      <c r="H26" s="93">
        <f>SUM(H10:H25)</f>
        <v>138000</v>
      </c>
    </row>
    <row r="27" spans="2:8" ht="15">
      <c r="B27" t="s">
        <v>136</v>
      </c>
      <c r="C27" s="37">
        <v>0.15</v>
      </c>
      <c r="D27" s="61"/>
      <c r="E27" s="60">
        <f>E26*C27</f>
        <v>73380</v>
      </c>
      <c r="F27" s="71">
        <v>0.15</v>
      </c>
      <c r="H27" s="93">
        <f>H26*F27</f>
        <v>20700</v>
      </c>
    </row>
    <row r="28" spans="2:8" ht="15">
      <c r="B28" s="75" t="s">
        <v>162</v>
      </c>
      <c r="C28" s="72">
        <f>C26+F26</f>
        <v>29</v>
      </c>
      <c r="D28" s="73"/>
      <c r="E28" s="74">
        <f>SUM(E26:E27)</f>
        <v>562580</v>
      </c>
      <c r="F28" s="74"/>
      <c r="G28" s="73"/>
      <c r="H28" s="74">
        <f>SUM(H26:H27)</f>
        <v>158700</v>
      </c>
    </row>
  </sheetData>
  <sheetProtection selectLockedCells="1" selectUnlockedCells="1"/>
  <printOptions/>
  <pageMargins left="0.7" right="0.7" top="0.75" bottom="0.75" header="0.5118055555555555" footer="0.5118055555555555"/>
  <pageSetup firstPageNumber="0"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PieterHoff</cp:lastModifiedBy>
  <dcterms:created xsi:type="dcterms:W3CDTF">2013-03-19T20:29:19Z</dcterms:created>
  <dcterms:modified xsi:type="dcterms:W3CDTF">2014-12-20T16:48:47Z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