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610" windowHeight="9555" tabRatio="965" activeTab="0"/>
  </bookViews>
  <sheets>
    <sheet name="Front page" sheetId="1" r:id="rId1"/>
    <sheet name="Introduction and Summary" sheetId="2" r:id="rId2"/>
    <sheet name="Planting Cost and Info" sheetId="3" r:id="rId3"/>
    <sheet name="Employment" sheetId="4" r:id="rId4"/>
    <sheet name="Nursery" sheetId="5" r:id="rId5"/>
    <sheet name="Management Flow Chart" sheetId="6" r:id="rId6"/>
  </sheets>
  <definedNames>
    <definedName name="_xlnm.Print_Area" localSheetId="3">'Employment'!$A$1:$E$56</definedName>
    <definedName name="_xlnm.Print_Area" localSheetId="0">'Front page'!$A$1:$A$29</definedName>
    <definedName name="_xlnm.Print_Area" localSheetId="2">'Planting Cost and Info'!$A$1:$E$60</definedName>
  </definedNames>
  <calcPr fullCalcOnLoad="1"/>
</workbook>
</file>

<file path=xl/comments2.xml><?xml version="1.0" encoding="utf-8"?>
<comments xmlns="http://schemas.openxmlformats.org/spreadsheetml/2006/main">
  <authors>
    <author>PieterHoff</author>
  </authors>
  <commentList>
    <comment ref="B21" authorId="0">
      <text>
        <r>
          <rPr>
            <b/>
            <sz val="9"/>
            <rFont val="Tahoma"/>
            <family val="2"/>
          </rPr>
          <t xml:space="preserve">Scientific sources: THE UNIVERSITY OF STUTTGART CLAIMS THAT JATROPHA DISCONNECTS 25 TONNES OF CO2 PER HECTARE
https://www.uni-hohenheim.de/news/studie-carbon-farming-
biomasse-plantagen-in-wuestenregionen-koennten-klimawandel-
mildern-8
THE UNIVERSITY OF BOULDER COLORADO CLAIMS THAT TREES DISCONNECT NOW 100% MORE CARBON THAN 50 YEARS AGO THIS IS LOGIC, SHELL IS SELLING CO2 TO GROWERS IN HOLLAND AS A FERTILIZER
http://www.colorado.edu/news/releases/2012/08/01/earth-still-
absorbing-co2-even-emissions-rise-says-new-cu-led-study
</t>
        </r>
        <r>
          <rPr>
            <sz val="9"/>
            <rFont val="Tahoma"/>
            <family val="2"/>
          </rPr>
          <t xml:space="preserve">
</t>
        </r>
      </text>
    </comment>
  </commentList>
</comments>
</file>

<file path=xl/comments3.xml><?xml version="1.0" encoding="utf-8"?>
<comments xmlns="http://schemas.openxmlformats.org/spreadsheetml/2006/main">
  <authors>
    <author/>
  </authors>
  <commentList>
    <comment ref="A30" authorId="0">
      <text>
        <r>
          <rPr>
            <b/>
            <sz val="9"/>
            <color indexed="8"/>
            <rFont val="Tahoma"/>
            <family val="2"/>
          </rPr>
          <t xml:space="preserve">This is based on a tractor of 60K plus machine of 40K making 1 hole a time, plus energy, using it 6 years. If it is a 3-drill, price will drop to 6 cents excl. wages
</t>
        </r>
        <r>
          <rPr>
            <sz val="9"/>
            <color indexed="8"/>
            <rFont val="Tahoma"/>
            <family val="2"/>
          </rPr>
          <t xml:space="preserve">
</t>
        </r>
      </text>
    </comment>
    <comment ref="A31" authorId="0">
      <text>
        <r>
          <rPr>
            <b/>
            <sz val="9"/>
            <color indexed="8"/>
            <rFont val="Tahoma"/>
            <family val="2"/>
          </rPr>
          <t xml:space="preserve">This is based on a tractor with one drill, with 3 drills the price would drop to 10 cents
</t>
        </r>
      </text>
    </comment>
  </commentList>
</comments>
</file>

<file path=xl/sharedStrings.xml><?xml version="1.0" encoding="utf-8"?>
<sst xmlns="http://schemas.openxmlformats.org/spreadsheetml/2006/main" count="242" uniqueCount="177">
  <si>
    <t>Groasis Technology</t>
  </si>
  <si>
    <t>using the</t>
  </si>
  <si>
    <t>10 times re-usable Groasis Waterboxx</t>
  </si>
  <si>
    <t>This document is a template with general assumptions.</t>
  </si>
  <si>
    <t>Please fine tune the assumptions so that the shown figures are correct for your specific project</t>
  </si>
  <si>
    <t>Pieter Hoff</t>
  </si>
  <si>
    <t>phoff@groasis.com</t>
  </si>
  <si>
    <t>© Wout Hoff - this model is the intellectual property of Groasis - Holland</t>
  </si>
  <si>
    <r>
      <t xml:space="preserve">                                            </t>
    </r>
    <r>
      <rPr>
        <b/>
        <i/>
        <sz val="11"/>
        <color indexed="8"/>
        <rFont val="Calibri"/>
        <family val="2"/>
      </rPr>
      <t>make wasteland productive again</t>
    </r>
  </si>
  <si>
    <t xml:space="preserve">                                      </t>
  </si>
  <si>
    <t>Project Introduction:</t>
  </si>
  <si>
    <t>The Groasis Waterboxx is an innovative 10-year re-usable device that enables you to plant trees - bushes - plants on wasteland.</t>
  </si>
  <si>
    <t>Project Summary:</t>
  </si>
  <si>
    <t>PLEASE FILL OUT THE SIZE OF YOUR PROJECT</t>
  </si>
  <si>
    <t>ha</t>
  </si>
  <si>
    <t>Note: Change number of hectares according to your needs, and the calculations will change accordingly</t>
  </si>
  <si>
    <t>PLEASE FILL OUT THE DURATION OF YOUR PROJECT</t>
  </si>
  <si>
    <t>years</t>
  </si>
  <si>
    <t>Note: Change number of years you want to plant according to your needs, and the calculations will change accordingly</t>
  </si>
  <si>
    <t>PLEASE FILL OUT THE GROSS WAGE OF ONE PLANTER PER HOUR</t>
  </si>
  <si>
    <t>US$</t>
  </si>
  <si>
    <t>Note: Change hourly wage according to your practical situation, and the calculations will change accordingly</t>
  </si>
  <si>
    <t>PLEASE FILL OUT THE NUMBER OF WATERBOXXES PER HA</t>
  </si>
  <si>
    <t>Note: You plant two trees per box, so if you want 600 trees per hectare, you need 300 boxes only</t>
  </si>
  <si>
    <t>PLEASE FILL OUT HOW MANY WEEKS PER YEAR YOU PLANT</t>
  </si>
  <si>
    <t>Note: Reduce 52 weeks of the year by the number of weeks you don't plant (e.g. holidays, religious periods, etc.) and fill out the number of remaining weeks</t>
  </si>
  <si>
    <t>Project planting speed in hectares per week</t>
  </si>
  <si>
    <t>ha/week</t>
  </si>
  <si>
    <t>Annual investment</t>
  </si>
  <si>
    <t>mUS$</t>
  </si>
  <si>
    <t>Investment per hectare</t>
  </si>
  <si>
    <t>Total employment generated</t>
  </si>
  <si>
    <t>staff/year</t>
  </si>
  <si>
    <t>Nursery size</t>
  </si>
  <si>
    <t>m2</t>
  </si>
  <si>
    <t>Number of trees alive at project completion</t>
  </si>
  <si>
    <t>Project planting investment</t>
  </si>
  <si>
    <t>Guidance Notes:</t>
  </si>
  <si>
    <t>Please only change the values in light yellow cells:</t>
  </si>
  <si>
    <t>This page describes the process of planting the desert area with Groasis Waterboxxes.</t>
  </si>
  <si>
    <t>INPUT</t>
  </si>
  <si>
    <t>Units</t>
  </si>
  <si>
    <t>Single value</t>
  </si>
  <si>
    <t>Project size</t>
  </si>
  <si>
    <t>Planting duration</t>
  </si>
  <si>
    <t>Cleaning costs per ha (weeds/invasive species)</t>
  </si>
  <si>
    <t>Total cleaning costs per ha</t>
  </si>
  <si>
    <t>Number of Groasis Waterboxxes / planting holes per ha</t>
  </si>
  <si>
    <t>Number of trees per Groasis Waterboxx</t>
  </si>
  <si>
    <t>Select value from drop down list</t>
  </si>
  <si>
    <t>Number of trees planted per ha</t>
  </si>
  <si>
    <t>Number of varieties planted per Groasis Waterboxx</t>
  </si>
  <si>
    <t>Select value from drop down list - if planting 2 varieties, split assumed 50%-50%</t>
  </si>
  <si>
    <t>Price of variety 1</t>
  </si>
  <si>
    <t>This includes the cost of the nursery if grown locally</t>
  </si>
  <si>
    <t>Price of variety 2</t>
  </si>
  <si>
    <t>Cost of trees per ha</t>
  </si>
  <si>
    <t>Expected survival rate</t>
  </si>
  <si>
    <t>%</t>
  </si>
  <si>
    <t>Number of surviving trees per ha</t>
  </si>
  <si>
    <t>Number of m2 per surviving tree</t>
  </si>
  <si>
    <t>Total cost  per Groasis Waterboxx</t>
  </si>
  <si>
    <t xml:space="preserve">Important note: add the price of your offer. The filled out price is not a market price, as the price depends on the numbers </t>
  </si>
  <si>
    <t>Cost of Groasis Waterboxxes per ha</t>
  </si>
  <si>
    <t>Number of planting holes drilled per ha</t>
  </si>
  <si>
    <t>Cost of machinery of drilling per planting hole</t>
  </si>
  <si>
    <t>Drilling costs wages per planting hole</t>
  </si>
  <si>
    <t>Cost of drilling planting holes per ha</t>
  </si>
  <si>
    <t>Planting costs wages per Groasis Waterboxx</t>
  </si>
  <si>
    <t>Housing, food, transport, medical care for the personnel, etc., estimated per box</t>
  </si>
  <si>
    <t>Cost of planting per ha</t>
  </si>
  <si>
    <t>liter</t>
  </si>
  <si>
    <t>Note: in dry circumstances you have to fill the planting holes with 20 to 40 liters of water, one day before planting. After planting you fill the middle opening of the Groasis Waterboxx with 4 liters and the Groasis Waterboxx itself with 16 liters</t>
  </si>
  <si>
    <t>Cost of water per liter incl. logistics</t>
  </si>
  <si>
    <t>Cost of water per ha incl. logistics</t>
  </si>
  <si>
    <t xml:space="preserve">Water giving </t>
  </si>
  <si>
    <t>Cleaning costs of boxes / machinery / water</t>
  </si>
  <si>
    <t>Labor costs of cleaning</t>
  </si>
  <si>
    <t>Cleaning costs of Groasis Waterboxxes per ha</t>
  </si>
  <si>
    <t>Cost of management and organization per ha</t>
  </si>
  <si>
    <t>Unforeseen</t>
  </si>
  <si>
    <t>Unforeseen cost estimate per ha</t>
  </si>
  <si>
    <t>Total estimated planting cost</t>
  </si>
  <si>
    <t>US$/ha</t>
  </si>
  <si>
    <t>US$/tree</t>
  </si>
  <si>
    <t>This page describes how to organize this project and provides an overview of employment generated</t>
  </si>
  <si>
    <t>Area planted per annum</t>
  </si>
  <si>
    <t>Number of planting weeks</t>
  </si>
  <si>
    <t>weeks</t>
  </si>
  <si>
    <t>Area planted per week</t>
  </si>
  <si>
    <t>Number of Groasis Waterboxxes per week</t>
  </si>
  <si>
    <t>Number of trees per week</t>
  </si>
  <si>
    <t>Number of working days per week</t>
  </si>
  <si>
    <t>days</t>
  </si>
  <si>
    <t>Length of a working shift</t>
  </si>
  <si>
    <t>hours</t>
  </si>
  <si>
    <t>Number of Groasis Waterboxxes per working day</t>
  </si>
  <si>
    <t>Number of hours per day of drilling holes</t>
  </si>
  <si>
    <t>Number of holes drilled per hour</t>
  </si>
  <si>
    <t>Number of holes drilled per day per drill</t>
  </si>
  <si>
    <t>Number of drills needed for planting holes</t>
  </si>
  <si>
    <t>Number of drill drivers needed</t>
  </si>
  <si>
    <t>Number of Groasis Waterboxxes assembled and planted per man per hour</t>
  </si>
  <si>
    <t>Number of Groasis Waterboxxes planted per working shift</t>
  </si>
  <si>
    <t>Number of planters needed</t>
  </si>
  <si>
    <t>Number of Groasis Waterboxxes taken off and cleaned per man per hour</t>
  </si>
  <si>
    <t>Number of Groasis Waterboxxes taken off and cleaned per working shift</t>
  </si>
  <si>
    <t>Number of people needed to take off the box and clean it</t>
  </si>
  <si>
    <t>Note: the workers of cell C34 are needed one year after the start of the project and also one year longer than the duration of the project.</t>
  </si>
  <si>
    <t>Internal transport of Groasis Waterboxxes and plants per man hour</t>
  </si>
  <si>
    <t>Internal transport while planting</t>
  </si>
  <si>
    <t>Number of planting holes and Groasis Waterboxxes water gift per man hour</t>
  </si>
  <si>
    <t>Note: in dry circumstances you have to fill the planting holes with 20 to 40 liters of water, one day before planting. After the planting you fill the middle opening of the Groasis Waterboxx with 4 liters and the Groasis Waterboxx itself with 16 liters</t>
  </si>
  <si>
    <t>Water gift while planting</t>
  </si>
  <si>
    <t>Cleaning time per ha (weeds/invasive species)</t>
  </si>
  <si>
    <t>Number of hectares to be cleaned per day</t>
  </si>
  <si>
    <t>Number of cleaners needed</t>
  </si>
  <si>
    <t>Unforeseen labor estimate</t>
  </si>
  <si>
    <t>Housing costs per laborer per day</t>
  </si>
  <si>
    <t>Management</t>
  </si>
  <si>
    <t>Total laborers needed for project planting incl. management</t>
  </si>
  <si>
    <t>This page describes the size of the nursery you need in order to produce the young trees/bushes prior to planting them.</t>
  </si>
  <si>
    <t>Minimum plant age before planting in Groasis Waterboxxes</t>
  </si>
  <si>
    <t>Plant density in nursery, first part of nursery time, polystyrene trays</t>
  </si>
  <si>
    <t>plants/gross m2</t>
  </si>
  <si>
    <t>Plant density in nursery, remaining weeks, polystyrene trays</t>
  </si>
  <si>
    <t>Nursery time in weeks with 800 plants per m2</t>
  </si>
  <si>
    <t>Net number of plants required per week</t>
  </si>
  <si>
    <t>Plant loss during production in nursery</t>
  </si>
  <si>
    <t>Gross number of plants required per week</t>
  </si>
  <si>
    <t>Gross size for first one week output</t>
  </si>
  <si>
    <t>Total gross size for output requirements, first period of production</t>
  </si>
  <si>
    <t>Gross size per week for remaining weeks</t>
  </si>
  <si>
    <t>Total gross size for output requirements, last period of production</t>
  </si>
  <si>
    <t>Total needed nursery size (net area)</t>
  </si>
  <si>
    <t>Percentage of unused area in greenhouse (paths)</t>
  </si>
  <si>
    <t>Total needed nursery size (gross area)</t>
  </si>
  <si>
    <t>Note: it is assumed that the production costs of the nursery and equipment are included in the cost price of young trees (see tab 'Planting Cost and Info').</t>
  </si>
  <si>
    <t xml:space="preserve">                                             make wasteland productive again</t>
  </si>
  <si>
    <t>This page describes the management and their office costs incl. building</t>
  </si>
  <si>
    <t>Input</t>
  </si>
  <si>
    <t>Number</t>
  </si>
  <si>
    <t>Annual salary</t>
  </si>
  <si>
    <t>Total</t>
  </si>
  <si>
    <t>Office costs</t>
  </si>
  <si>
    <t>General manager</t>
  </si>
  <si>
    <t>Financial manager</t>
  </si>
  <si>
    <t>Marketing and sales</t>
  </si>
  <si>
    <t>Human resources</t>
  </si>
  <si>
    <t>Assistant general manager</t>
  </si>
  <si>
    <t>Quality control</t>
  </si>
  <si>
    <t>Communication</t>
  </si>
  <si>
    <t>Nursery</t>
  </si>
  <si>
    <t>Forestry</t>
  </si>
  <si>
    <t>Logistics</t>
  </si>
  <si>
    <t>Mechanics</t>
  </si>
  <si>
    <t>Food &amp; Health</t>
  </si>
  <si>
    <t>Security</t>
  </si>
  <si>
    <t>Doctor</t>
  </si>
  <si>
    <t>Legal</t>
  </si>
  <si>
    <t>Supporting personnel</t>
  </si>
  <si>
    <t>Subtotal</t>
  </si>
  <si>
    <t>Total management costs</t>
  </si>
  <si>
    <t>bought, duties, VAT, transport and other costs. These costs can vary per country.</t>
  </si>
  <si>
    <t>Note: this is a simplified model to give a quick survey of the estimated costs associated with a tree planting project in deserts, eroded or rocky areas when using the Groasis Waterboxx. The model does not aim to be a full representation of the implications.</t>
  </si>
  <si>
    <t>Cost of protection against animals per ha</t>
  </si>
  <si>
    <t>Safety costs / protection of the area</t>
  </si>
  <si>
    <t>Total safety and protection costs</t>
  </si>
  <si>
    <t>Note: if the project period is shorter than one year, you have to divide the result by 52 and multiply with the number of weeks that the project takes</t>
  </si>
  <si>
    <t>Annual CO₂ reduction in tonnes</t>
  </si>
  <si>
    <t>Total CO₂ reduction in tonnes in 50 years after planting</t>
  </si>
  <si>
    <t>for The Treesolution</t>
  </si>
  <si>
    <t xml:space="preserve">Water need per box </t>
  </si>
  <si>
    <t>Standard the management costs are taken per 10.000 hectares</t>
  </si>
  <si>
    <t>Protection of trees against animals with Growsafe Telescoprotexx</t>
  </si>
  <si>
    <t>Price per tonne CO₂ reduction during all period</t>
  </si>
  <si>
    <t xml:space="preserve">  make wasteland productive again</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</si>
</sst>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yyyy"/>
    <numFmt numFmtId="165" formatCode="_-* #,##0.00_-;\-* #,##0.00_-;_-* \-??_-;_-@_-"/>
    <numFmt numFmtId="166" formatCode="_-* #,##0_-;\-* #,##0_-;_-* \-??_-;_-@_-"/>
    <numFmt numFmtId="167" formatCode="_-* #,##0.0_-;\-* #,##0.0_-;_-* \-??_-;_-@_-"/>
    <numFmt numFmtId="168" formatCode="0.0000000"/>
    <numFmt numFmtId="169" formatCode="0.000000"/>
    <numFmt numFmtId="170" formatCode="0.00000"/>
    <numFmt numFmtId="171" formatCode="0.0000"/>
    <numFmt numFmtId="172" formatCode="0.000"/>
    <numFmt numFmtId="173" formatCode="0.0"/>
    <numFmt numFmtId="174" formatCode="_-* #,##0.000000_-;\-* #,##0.000000_-;_-* \-??_-;_-@_-"/>
    <numFmt numFmtId="175" formatCode="_-* #,##0.00000_-;\-* #,##0.00000_-;_-* \-??_-;_-@_-"/>
    <numFmt numFmtId="176" formatCode="_-* #,##0.0000000_-;\-* #,##0.0000000_-;_-* \-??_-;_-@_-"/>
    <numFmt numFmtId="177" formatCode="_-* #,##0.00000000_-;\-* #,##0.00000000_-;_-* \-??_-;_-@_-"/>
    <numFmt numFmtId="178" formatCode="_-* #,##0.0000_-;\-* #,##0.0000_-;_-* \-??_-;_-@_-"/>
    <numFmt numFmtId="179" formatCode="_-* #,##0.000_-;\-* #,##0.000_-;_-* \-??_-;_-@_-"/>
  </numFmts>
  <fonts count="59">
    <font>
      <sz val="11"/>
      <color indexed="8"/>
      <name val="Calibri"/>
      <family val="2"/>
    </font>
    <font>
      <sz val="10"/>
      <name val="Arial"/>
      <family val="0"/>
    </font>
    <font>
      <sz val="10"/>
      <name val="Calibri"/>
      <family val="2"/>
    </font>
    <font>
      <i/>
      <sz val="18"/>
      <name val="Calibri"/>
      <family val="2"/>
    </font>
    <font>
      <b/>
      <i/>
      <sz val="24"/>
      <color indexed="9"/>
      <name val="Calibri"/>
      <family val="2"/>
    </font>
    <font>
      <sz val="24"/>
      <name val="Calibri"/>
      <family val="2"/>
    </font>
    <font>
      <sz val="12"/>
      <name val="Calibri"/>
      <family val="2"/>
    </font>
    <font>
      <b/>
      <sz val="12"/>
      <color indexed="9"/>
      <name val="Calibri"/>
      <family val="2"/>
    </font>
    <font>
      <sz val="9"/>
      <name val="Arial"/>
      <family val="2"/>
    </font>
    <font>
      <sz val="12"/>
      <color indexed="9"/>
      <name val="Calibri"/>
      <family val="2"/>
    </font>
    <font>
      <u val="single"/>
      <sz val="10"/>
      <color indexed="12"/>
      <name val="Arial"/>
      <family val="2"/>
    </font>
    <font>
      <sz val="10"/>
      <color indexed="9"/>
      <name val="Calibri"/>
      <family val="2"/>
    </font>
    <font>
      <b/>
      <i/>
      <sz val="11"/>
      <color indexed="8"/>
      <name val="Calibri"/>
      <family val="2"/>
    </font>
    <font>
      <b/>
      <u val="single"/>
      <sz val="11"/>
      <color indexed="8"/>
      <name val="Calibri"/>
      <family val="2"/>
    </font>
    <font>
      <i/>
      <sz val="11"/>
      <color indexed="8"/>
      <name val="Calibri"/>
      <family val="2"/>
    </font>
    <font>
      <u val="single"/>
      <sz val="11"/>
      <color indexed="8"/>
      <name val="Calibri"/>
      <family val="2"/>
    </font>
    <font>
      <sz val="11"/>
      <color indexed="26"/>
      <name val="Calibri"/>
      <family val="2"/>
    </font>
    <font>
      <b/>
      <sz val="9"/>
      <color indexed="8"/>
      <name val="Tahoma"/>
      <family val="2"/>
    </font>
    <font>
      <sz val="9"/>
      <color indexed="8"/>
      <name val="Tahoma"/>
      <family val="2"/>
    </font>
    <font>
      <b/>
      <sz val="11"/>
      <color indexed="8"/>
      <name val="Calibri"/>
      <family val="2"/>
    </font>
    <font>
      <sz val="11"/>
      <name val="Calibri"/>
      <family val="2"/>
    </font>
    <font>
      <i/>
      <sz val="11"/>
      <name val="Calibri"/>
      <family val="2"/>
    </font>
    <font>
      <u val="single"/>
      <sz val="11"/>
      <name val="Calibri"/>
      <family val="2"/>
    </font>
    <font>
      <sz val="9"/>
      <name val="Tahoma"/>
      <family val="2"/>
    </font>
    <font>
      <b/>
      <sz val="9"/>
      <name val="Tahoma"/>
      <family val="2"/>
    </font>
    <font>
      <sz val="26"/>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0"/>
        <bgColor indexed="64"/>
      </patternFill>
    </fill>
    <fill>
      <patternFill patternType="solid">
        <fgColor indexed="13"/>
        <bgColor indexed="64"/>
      </patternFill>
    </fill>
    <fill>
      <patternFill patternType="solid">
        <fgColor indexed="17"/>
        <bgColor indexed="64"/>
      </patternFill>
    </fill>
    <fill>
      <patternFill patternType="solid">
        <fgColor indexed="43"/>
        <bgColor indexed="64"/>
      </patternFill>
    </fill>
    <fill>
      <patternFill patternType="solid">
        <fgColor rgb="FFFFFF00"/>
        <bgColor indexed="64"/>
      </patternFill>
    </fill>
    <fill>
      <patternFill patternType="solid">
        <fgColor rgb="FFFFC00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right style="medium"/>
      <top style="medium"/>
      <bottom style="mediu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0" borderId="3" applyNumberFormat="0" applyFill="0" applyAlignment="0" applyProtection="0"/>
    <xf numFmtId="0" fontId="46" fillId="28" borderId="0" applyNumberFormat="0" applyBorder="0" applyAlignment="0" applyProtection="0"/>
    <xf numFmtId="0" fontId="10" fillId="0" borderId="0" applyNumberFormat="0" applyFill="0" applyBorder="0" applyAlignment="0" applyProtection="0"/>
    <xf numFmtId="0" fontId="47" fillId="29" borderId="1" applyNumberFormat="0" applyAlignment="0" applyProtection="0"/>
    <xf numFmtId="165" fontId="0" fillId="0" borderId="0" applyFill="0" applyBorder="0" applyAlignment="0" applyProtection="0"/>
    <xf numFmtId="41" fontId="1" fillId="0" borderId="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50" fillId="0" borderId="6" applyNumberFormat="0" applyFill="0" applyAlignment="0" applyProtection="0"/>
    <xf numFmtId="0" fontId="50" fillId="0" borderId="0" applyNumberFormat="0" applyFill="0" applyBorder="0" applyAlignment="0" applyProtection="0"/>
    <xf numFmtId="0" fontId="51" fillId="30" borderId="0" applyNumberFormat="0" applyBorder="0" applyAlignment="0" applyProtection="0"/>
    <xf numFmtId="0" fontId="1" fillId="0" borderId="0">
      <alignment/>
      <protection/>
    </xf>
    <xf numFmtId="0" fontId="0" fillId="31" borderId="7" applyNumberFormat="0" applyFont="0" applyAlignment="0" applyProtection="0"/>
    <xf numFmtId="0" fontId="52" fillId="32" borderId="0" applyNumberFormat="0" applyBorder="0" applyAlignment="0" applyProtection="0"/>
    <xf numFmtId="9" fontId="0" fillId="0" borderId="0" applyFill="0" applyBorder="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26" borderId="9" applyNumberFormat="0" applyAlignment="0" applyProtection="0"/>
    <xf numFmtId="44" fontId="1" fillId="0" borderId="0" applyFill="0" applyBorder="0" applyAlignment="0" applyProtection="0"/>
    <xf numFmtId="42" fontId="1"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89">
    <xf numFmtId="0" fontId="0" fillId="0" borderId="0" xfId="0" applyAlignment="1">
      <alignment/>
    </xf>
    <xf numFmtId="0" fontId="1" fillId="33" borderId="0" xfId="52" applyFill="1">
      <alignment/>
      <protection/>
    </xf>
    <xf numFmtId="0" fontId="2" fillId="33" borderId="0" xfId="52" applyFont="1" applyFill="1" applyAlignment="1">
      <alignment horizontal="center"/>
      <protection/>
    </xf>
    <xf numFmtId="0" fontId="3" fillId="33" borderId="0" xfId="52" applyFont="1" applyFill="1" applyAlignment="1">
      <alignment horizontal="center"/>
      <protection/>
    </xf>
    <xf numFmtId="0" fontId="4" fillId="33" borderId="0" xfId="52" applyFont="1" applyFill="1" applyAlignment="1">
      <alignment horizontal="center" wrapText="1"/>
      <protection/>
    </xf>
    <xf numFmtId="0" fontId="5" fillId="33" borderId="0" xfId="52" applyFont="1" applyFill="1" applyAlignment="1">
      <alignment horizontal="center"/>
      <protection/>
    </xf>
    <xf numFmtId="164" fontId="4" fillId="33" borderId="0" xfId="52" applyNumberFormat="1" applyFont="1" applyFill="1" applyAlignment="1">
      <alignment horizontal="center"/>
      <protection/>
    </xf>
    <xf numFmtId="0" fontId="6" fillId="34" borderId="0" xfId="52" applyFont="1" applyFill="1" applyAlignment="1">
      <alignment horizontal="center" wrapText="1"/>
      <protection/>
    </xf>
    <xf numFmtId="0" fontId="7" fillId="33" borderId="0" xfId="52" applyFont="1" applyFill="1" applyAlignment="1">
      <alignment horizontal="center"/>
      <protection/>
    </xf>
    <xf numFmtId="0" fontId="8" fillId="34" borderId="10" xfId="52" applyFont="1" applyFill="1" applyBorder="1" applyAlignment="1">
      <alignment horizontal="center"/>
      <protection/>
    </xf>
    <xf numFmtId="0" fontId="8" fillId="34" borderId="11" xfId="52" applyFont="1" applyFill="1" applyBorder="1" applyAlignment="1">
      <alignment horizontal="center"/>
      <protection/>
    </xf>
    <xf numFmtId="0" fontId="6" fillId="33" borderId="0" xfId="52" applyFont="1" applyFill="1" applyAlignment="1">
      <alignment horizontal="center"/>
      <protection/>
    </xf>
    <xf numFmtId="0" fontId="9" fillId="33" borderId="0" xfId="52" applyFont="1" applyFill="1" applyAlignment="1">
      <alignment horizontal="center"/>
      <protection/>
    </xf>
    <xf numFmtId="0" fontId="10" fillId="33" borderId="0" xfId="43" applyNumberFormat="1" applyFont="1" applyFill="1" applyBorder="1" applyAlignment="1" applyProtection="1">
      <alignment horizontal="center"/>
      <protection/>
    </xf>
    <xf numFmtId="0" fontId="11" fillId="33" borderId="0" xfId="52" applyFont="1" applyFill="1" applyAlignment="1">
      <alignment horizontal="center"/>
      <protection/>
    </xf>
    <xf numFmtId="0" fontId="0" fillId="35" borderId="0" xfId="0" applyFont="1" applyFill="1" applyBorder="1" applyAlignment="1">
      <alignment/>
    </xf>
    <xf numFmtId="0" fontId="0" fillId="0" borderId="0" xfId="0" applyBorder="1" applyAlignment="1">
      <alignment/>
    </xf>
    <xf numFmtId="0" fontId="13" fillId="0" borderId="0" xfId="0" applyFont="1" applyBorder="1" applyAlignment="1">
      <alignment/>
    </xf>
    <xf numFmtId="0" fontId="13" fillId="0" borderId="0" xfId="0" applyFont="1" applyAlignment="1">
      <alignment/>
    </xf>
    <xf numFmtId="166" fontId="0" fillId="36" borderId="12" xfId="45" applyNumberFormat="1" applyFont="1" applyFill="1" applyBorder="1" applyAlignment="1" applyProtection="1">
      <alignment/>
      <protection/>
    </xf>
    <xf numFmtId="0" fontId="0" fillId="33" borderId="0" xfId="0" applyFont="1" applyFill="1" applyAlignment="1">
      <alignment/>
    </xf>
    <xf numFmtId="0" fontId="14" fillId="0" borderId="0" xfId="0" applyFont="1" applyAlignment="1">
      <alignment/>
    </xf>
    <xf numFmtId="166" fontId="0" fillId="33" borderId="0" xfId="45" applyNumberFormat="1" applyFont="1" applyFill="1" applyBorder="1" applyAlignment="1" applyProtection="1">
      <alignment/>
      <protection/>
    </xf>
    <xf numFmtId="0" fontId="0" fillId="0" borderId="0" xfId="0" applyFill="1" applyBorder="1" applyAlignment="1">
      <alignment/>
    </xf>
    <xf numFmtId="166" fontId="0" fillId="0" borderId="0" xfId="45" applyNumberFormat="1" applyFont="1" applyFill="1" applyBorder="1" applyAlignment="1" applyProtection="1">
      <alignment/>
      <protection/>
    </xf>
    <xf numFmtId="0" fontId="0" fillId="0" borderId="0" xfId="0" applyFill="1" applyAlignment="1">
      <alignment/>
    </xf>
    <xf numFmtId="0" fontId="0" fillId="36" borderId="12" xfId="0" applyFill="1" applyBorder="1" applyAlignment="1">
      <alignment/>
    </xf>
    <xf numFmtId="0" fontId="11" fillId="35" borderId="0" xfId="0" applyFont="1" applyFill="1" applyAlignment="1">
      <alignment/>
    </xf>
    <xf numFmtId="0" fontId="11" fillId="35" borderId="0" xfId="0" applyFont="1" applyFill="1" applyAlignment="1">
      <alignment horizontal="center"/>
    </xf>
    <xf numFmtId="0" fontId="11" fillId="35" borderId="0" xfId="0" applyFont="1" applyFill="1" applyBorder="1" applyAlignment="1">
      <alignment horizontal="center"/>
    </xf>
    <xf numFmtId="0" fontId="15" fillId="0" borderId="0" xfId="0" applyFont="1" applyAlignment="1">
      <alignment/>
    </xf>
    <xf numFmtId="1" fontId="15" fillId="0" borderId="0" xfId="0" applyNumberFormat="1" applyFont="1" applyAlignment="1">
      <alignment/>
    </xf>
    <xf numFmtId="3" fontId="0" fillId="0" borderId="0" xfId="0" applyNumberFormat="1" applyFill="1" applyAlignment="1">
      <alignment/>
    </xf>
    <xf numFmtId="0" fontId="0" fillId="36" borderId="0" xfId="0" applyFill="1" applyAlignment="1">
      <alignment/>
    </xf>
    <xf numFmtId="0" fontId="16" fillId="0" borderId="0" xfId="0" applyFont="1" applyAlignment="1">
      <alignment/>
    </xf>
    <xf numFmtId="0" fontId="0" fillId="0" borderId="0" xfId="0" applyFont="1" applyAlignment="1">
      <alignment/>
    </xf>
    <xf numFmtId="2" fontId="0" fillId="36" borderId="0" xfId="0" applyNumberFormat="1" applyFill="1" applyAlignment="1">
      <alignment/>
    </xf>
    <xf numFmtId="0" fontId="15" fillId="0" borderId="0" xfId="0" applyNumberFormat="1" applyFont="1" applyAlignment="1">
      <alignment/>
    </xf>
    <xf numFmtId="9" fontId="0" fillId="36" borderId="0" xfId="0" applyNumberFormat="1" applyFill="1" applyAlignment="1">
      <alignment/>
    </xf>
    <xf numFmtId="3" fontId="0" fillId="0" borderId="0" xfId="0" applyNumberFormat="1" applyAlignment="1">
      <alignment/>
    </xf>
    <xf numFmtId="1" fontId="0" fillId="0" borderId="0" xfId="0" applyNumberFormat="1" applyAlignment="1">
      <alignment/>
    </xf>
    <xf numFmtId="3" fontId="15" fillId="0" borderId="0" xfId="0" applyNumberFormat="1" applyFont="1" applyAlignment="1">
      <alignment/>
    </xf>
    <xf numFmtId="2" fontId="0" fillId="0" borderId="0" xfId="0" applyNumberFormat="1" applyFill="1" applyAlignment="1">
      <alignment/>
    </xf>
    <xf numFmtId="0" fontId="0" fillId="0" borderId="0" xfId="0" applyNumberFormat="1" applyAlignment="1">
      <alignment/>
    </xf>
    <xf numFmtId="0" fontId="14" fillId="0" borderId="0" xfId="0" applyFont="1" applyFill="1" applyAlignment="1">
      <alignment/>
    </xf>
    <xf numFmtId="0" fontId="15" fillId="0" borderId="0" xfId="0" applyFont="1" applyFill="1" applyAlignment="1">
      <alignment/>
    </xf>
    <xf numFmtId="166" fontId="0" fillId="0" borderId="0" xfId="0" applyNumberFormat="1" applyAlignment="1">
      <alignment/>
    </xf>
    <xf numFmtId="9" fontId="0" fillId="0" borderId="0" xfId="0" applyNumberFormat="1" applyAlignment="1">
      <alignment/>
    </xf>
    <xf numFmtId="0" fontId="0" fillId="0" borderId="0" xfId="0" applyFont="1" applyFill="1" applyAlignment="1">
      <alignment/>
    </xf>
    <xf numFmtId="1" fontId="15" fillId="0" borderId="0" xfId="0" applyNumberFormat="1" applyFont="1" applyFill="1" applyAlignment="1">
      <alignment/>
    </xf>
    <xf numFmtId="9" fontId="0" fillId="36" borderId="0" xfId="55" applyFont="1" applyFill="1" applyBorder="1" applyAlignment="1" applyProtection="1">
      <alignment/>
      <protection/>
    </xf>
    <xf numFmtId="166" fontId="15" fillId="0" borderId="0" xfId="0" applyNumberFormat="1" applyFont="1" applyAlignment="1">
      <alignment/>
    </xf>
    <xf numFmtId="0" fontId="14" fillId="35" borderId="0" xfId="0" applyFont="1" applyFill="1" applyBorder="1" applyAlignment="1">
      <alignment/>
    </xf>
    <xf numFmtId="3" fontId="0" fillId="36" borderId="0" xfId="0" applyNumberFormat="1" applyFill="1" applyAlignment="1">
      <alignment/>
    </xf>
    <xf numFmtId="0" fontId="20" fillId="0" borderId="0" xfId="0" applyFont="1" applyAlignment="1">
      <alignment/>
    </xf>
    <xf numFmtId="0" fontId="20" fillId="36" borderId="0" xfId="0" applyFont="1" applyFill="1" applyAlignment="1">
      <alignment/>
    </xf>
    <xf numFmtId="0" fontId="21" fillId="0" borderId="0" xfId="0" applyFont="1" applyAlignment="1">
      <alignment/>
    </xf>
    <xf numFmtId="0" fontId="22" fillId="0" borderId="0" xfId="0" applyFont="1" applyAlignment="1">
      <alignment/>
    </xf>
    <xf numFmtId="3" fontId="22" fillId="0" borderId="0" xfId="0" applyNumberFormat="1" applyFont="1" applyAlignment="1">
      <alignment/>
    </xf>
    <xf numFmtId="0" fontId="0" fillId="37" borderId="12" xfId="0" applyFont="1" applyFill="1" applyBorder="1" applyAlignment="1">
      <alignment/>
    </xf>
    <xf numFmtId="166" fontId="0" fillId="37" borderId="12" xfId="45" applyNumberFormat="1" applyFont="1" applyFill="1" applyBorder="1" applyAlignment="1" applyProtection="1">
      <alignment/>
      <protection/>
    </xf>
    <xf numFmtId="0" fontId="0" fillId="33" borderId="0" xfId="0" applyFill="1" applyAlignment="1">
      <alignment/>
    </xf>
    <xf numFmtId="165" fontId="0" fillId="38" borderId="13" xfId="45" applyNumberFormat="1" applyFont="1" applyFill="1" applyBorder="1" applyAlignment="1" applyProtection="1">
      <alignment/>
      <protection/>
    </xf>
    <xf numFmtId="1" fontId="13" fillId="39" borderId="0" xfId="45" applyNumberFormat="1" applyFont="1" applyFill="1" applyBorder="1" applyAlignment="1" applyProtection="1">
      <alignment/>
      <protection/>
    </xf>
    <xf numFmtId="166" fontId="0" fillId="40" borderId="0" xfId="0" applyNumberFormat="1" applyFill="1" applyAlignment="1">
      <alignment/>
    </xf>
    <xf numFmtId="9" fontId="0" fillId="36" borderId="0" xfId="55" applyFill="1" applyAlignment="1">
      <alignment/>
    </xf>
    <xf numFmtId="2" fontId="0" fillId="0" borderId="0" xfId="0" applyNumberFormat="1" applyAlignment="1">
      <alignment/>
    </xf>
    <xf numFmtId="0" fontId="25" fillId="33" borderId="0" xfId="52" applyFont="1" applyFill="1" applyAlignment="1">
      <alignment horizontal="center"/>
      <protection/>
    </xf>
    <xf numFmtId="0" fontId="19" fillId="0" borderId="0" xfId="0" applyFont="1" applyAlignment="1">
      <alignment/>
    </xf>
    <xf numFmtId="166" fontId="0" fillId="36" borderId="13" xfId="45" applyNumberFormat="1" applyFont="1" applyFill="1" applyBorder="1" applyAlignment="1" applyProtection="1">
      <alignment/>
      <protection/>
    </xf>
    <xf numFmtId="0" fontId="13" fillId="39" borderId="0" xfId="0" applyFont="1" applyFill="1" applyAlignment="1">
      <alignment/>
    </xf>
    <xf numFmtId="166" fontId="13" fillId="38" borderId="0" xfId="45" applyNumberFormat="1" applyFont="1" applyFill="1" applyBorder="1" applyAlignment="1" applyProtection="1">
      <alignment/>
      <protection/>
    </xf>
    <xf numFmtId="0" fontId="0" fillId="39" borderId="0" xfId="0" applyFill="1" applyAlignment="1">
      <alignment/>
    </xf>
    <xf numFmtId="165" fontId="13" fillId="39" borderId="0" xfId="45" applyFont="1" applyFill="1" applyBorder="1" applyAlignment="1" applyProtection="1">
      <alignment/>
      <protection/>
    </xf>
    <xf numFmtId="166" fontId="0" fillId="0" borderId="0" xfId="45" applyNumberFormat="1" applyFill="1" applyAlignment="1">
      <alignment/>
    </xf>
    <xf numFmtId="166" fontId="13" fillId="39" borderId="0" xfId="0" applyNumberFormat="1" applyFont="1" applyFill="1" applyAlignment="1">
      <alignment/>
    </xf>
    <xf numFmtId="0" fontId="19" fillId="39" borderId="0" xfId="0" applyFont="1" applyFill="1" applyAlignment="1">
      <alignment/>
    </xf>
    <xf numFmtId="3" fontId="13" fillId="39" borderId="0" xfId="0" applyNumberFormat="1" applyFont="1" applyFill="1" applyAlignment="1">
      <alignment/>
    </xf>
    <xf numFmtId="166" fontId="0" fillId="0" borderId="0" xfId="45" applyNumberFormat="1" applyFont="1" applyFill="1" applyBorder="1" applyAlignment="1" applyProtection="1">
      <alignment/>
      <protection/>
    </xf>
    <xf numFmtId="166" fontId="13" fillId="39" borderId="0" xfId="45" applyNumberFormat="1" applyFont="1" applyFill="1" applyBorder="1" applyAlignment="1" applyProtection="1">
      <alignment/>
      <protection/>
    </xf>
    <xf numFmtId="9" fontId="0" fillId="41" borderId="0" xfId="0" applyNumberFormat="1" applyFill="1" applyAlignment="1">
      <alignment/>
    </xf>
    <xf numFmtId="0" fontId="12" fillId="35" borderId="0" xfId="0" applyFont="1" applyFill="1" applyBorder="1" applyAlignment="1">
      <alignment/>
    </xf>
    <xf numFmtId="0" fontId="0" fillId="35" borderId="0" xfId="0" applyFill="1" applyBorder="1" applyAlignment="1">
      <alignment/>
    </xf>
    <xf numFmtId="3" fontId="0" fillId="42" borderId="13" xfId="0" applyNumberFormat="1" applyFill="1" applyBorder="1" applyAlignment="1">
      <alignment/>
    </xf>
    <xf numFmtId="0" fontId="0" fillId="36" borderId="0" xfId="0" applyFill="1" applyBorder="1" applyAlignment="1">
      <alignment/>
    </xf>
    <xf numFmtId="0" fontId="0" fillId="0" borderId="0" xfId="0" applyFont="1" applyFill="1" applyBorder="1" applyAlignment="1">
      <alignment/>
    </xf>
    <xf numFmtId="0" fontId="0" fillId="0" borderId="14" xfId="0" applyFont="1" applyFill="1" applyBorder="1" applyAlignment="1">
      <alignment/>
    </xf>
    <xf numFmtId="166" fontId="0" fillId="33" borderId="0" xfId="0" applyNumberFormat="1" applyFont="1" applyFill="1" applyAlignment="1">
      <alignment/>
    </xf>
    <xf numFmtId="0" fontId="0" fillId="0" borderId="0" xfId="0"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rmal 2"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1876425</xdr:colOff>
      <xdr:row>5</xdr:row>
      <xdr:rowOff>57150</xdr:rowOff>
    </xdr:to>
    <xdr:pic>
      <xdr:nvPicPr>
        <xdr:cNvPr id="1" name="Picture 24"/>
        <xdr:cNvPicPr preferRelativeResize="1">
          <a:picLocks noChangeAspect="1"/>
        </xdr:cNvPicPr>
      </xdr:nvPicPr>
      <xdr:blipFill>
        <a:blip r:embed="rId1"/>
        <a:stretch>
          <a:fillRect/>
        </a:stretch>
      </xdr:blipFill>
      <xdr:spPr>
        <a:xfrm>
          <a:off x="0" y="161925"/>
          <a:ext cx="1876425" cy="838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1257300</xdr:colOff>
      <xdr:row>2</xdr:row>
      <xdr:rowOff>0</xdr:rowOff>
    </xdr:to>
    <xdr:pic>
      <xdr:nvPicPr>
        <xdr:cNvPr id="1" name="Picture 1"/>
        <xdr:cNvPicPr preferRelativeResize="1">
          <a:picLocks noChangeAspect="1"/>
        </xdr:cNvPicPr>
      </xdr:nvPicPr>
      <xdr:blipFill>
        <a:blip r:embed="rId1"/>
        <a:stretch>
          <a:fillRect/>
        </a:stretch>
      </xdr:blipFill>
      <xdr:spPr>
        <a:xfrm>
          <a:off x="0" y="0"/>
          <a:ext cx="1257300" cy="533400"/>
        </a:xfrm>
        <a:prstGeom prst="rect">
          <a:avLst/>
        </a:prstGeom>
        <a:noFill/>
        <a:ln w="9525" cmpd="sng">
          <a:noFill/>
        </a:ln>
      </xdr:spPr>
    </xdr:pic>
    <xdr:clientData/>
  </xdr:twoCellAnchor>
  <xdr:twoCellAnchor>
    <xdr:from>
      <xdr:col>0</xdr:col>
      <xdr:colOff>0</xdr:colOff>
      <xdr:row>0</xdr:row>
      <xdr:rowOff>0</xdr:rowOff>
    </xdr:from>
    <xdr:to>
      <xdr:col>0</xdr:col>
      <xdr:colOff>1266825</xdr:colOff>
      <xdr:row>2</xdr:row>
      <xdr:rowOff>38100</xdr:rowOff>
    </xdr:to>
    <xdr:pic>
      <xdr:nvPicPr>
        <xdr:cNvPr id="2" name="Picture 1"/>
        <xdr:cNvPicPr preferRelativeResize="1">
          <a:picLocks noChangeAspect="1"/>
        </xdr:cNvPicPr>
      </xdr:nvPicPr>
      <xdr:blipFill>
        <a:blip r:embed="rId1"/>
        <a:stretch>
          <a:fillRect/>
        </a:stretch>
      </xdr:blipFill>
      <xdr:spPr>
        <a:xfrm>
          <a:off x="0" y="0"/>
          <a:ext cx="12668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1285875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76350" cy="542925"/>
        </a:xfrm>
        <a:prstGeom prst="rect">
          <a:avLst/>
        </a:prstGeom>
        <a:noFill/>
        <a:ln w="9525" cmpd="sng">
          <a:noFill/>
        </a:ln>
      </xdr:spPr>
    </xdr:pic>
    <xdr:clientData/>
  </xdr:twoCellAnchor>
  <xdr:twoCellAnchor>
    <xdr:from>
      <xdr:col>0</xdr:col>
      <xdr:colOff>9525</xdr:colOff>
      <xdr:row>0</xdr:row>
      <xdr:rowOff>0</xdr:rowOff>
    </xdr:from>
    <xdr:to>
      <xdr:col>0</xdr:col>
      <xdr:colOff>1285875</xdr:colOff>
      <xdr:row>1</xdr:row>
      <xdr:rowOff>190500</xdr:rowOff>
    </xdr:to>
    <xdr:pic>
      <xdr:nvPicPr>
        <xdr:cNvPr id="2" name="Picture 1"/>
        <xdr:cNvPicPr preferRelativeResize="1">
          <a:picLocks noChangeAspect="1"/>
        </xdr:cNvPicPr>
      </xdr:nvPicPr>
      <xdr:blipFill>
        <a:blip r:embed="rId1"/>
        <a:stretch>
          <a:fillRect/>
        </a:stretch>
      </xdr:blipFill>
      <xdr:spPr>
        <a:xfrm>
          <a:off x="9525" y="0"/>
          <a:ext cx="1276350" cy="5429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1276350</xdr:colOff>
      <xdr:row>2</xdr:row>
      <xdr:rowOff>0</xdr:rowOff>
    </xdr:to>
    <xdr:pic>
      <xdr:nvPicPr>
        <xdr:cNvPr id="1" name="Picture 1"/>
        <xdr:cNvPicPr preferRelativeResize="1">
          <a:picLocks noChangeAspect="1"/>
        </xdr:cNvPicPr>
      </xdr:nvPicPr>
      <xdr:blipFill>
        <a:blip r:embed="rId1"/>
        <a:stretch>
          <a:fillRect/>
        </a:stretch>
      </xdr:blipFill>
      <xdr:spPr>
        <a:xfrm>
          <a:off x="0" y="0"/>
          <a:ext cx="1276350" cy="533400"/>
        </a:xfrm>
        <a:prstGeom prst="rect">
          <a:avLst/>
        </a:prstGeom>
        <a:noFill/>
        <a:ln w="9525" cmpd="sng">
          <a:noFill/>
        </a:ln>
      </xdr:spPr>
    </xdr:pic>
    <xdr:clientData/>
  </xdr:twoCellAnchor>
  <xdr:twoCellAnchor>
    <xdr:from>
      <xdr:col>0</xdr:col>
      <xdr:colOff>0</xdr:colOff>
      <xdr:row>0</xdr:row>
      <xdr:rowOff>0</xdr:rowOff>
    </xdr:from>
    <xdr:to>
      <xdr:col>0</xdr:col>
      <xdr:colOff>1257300</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57300" cy="533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0</xdr:col>
      <xdr:colOff>1266825</xdr:colOff>
      <xdr:row>1</xdr:row>
      <xdr:rowOff>190500</xdr:rowOff>
    </xdr:to>
    <xdr:pic>
      <xdr:nvPicPr>
        <xdr:cNvPr id="1" name="Picture 1"/>
        <xdr:cNvPicPr preferRelativeResize="1">
          <a:picLocks noChangeAspect="1"/>
        </xdr:cNvPicPr>
      </xdr:nvPicPr>
      <xdr:blipFill>
        <a:blip r:embed="rId1"/>
        <a:stretch>
          <a:fillRect/>
        </a:stretch>
      </xdr:blipFill>
      <xdr:spPr>
        <a:xfrm>
          <a:off x="9525" y="0"/>
          <a:ext cx="1257300" cy="533400"/>
        </a:xfrm>
        <a:prstGeom prst="rect">
          <a:avLst/>
        </a:prstGeom>
        <a:noFill/>
        <a:ln w="9525" cmpd="sng">
          <a:noFill/>
        </a:ln>
      </xdr:spPr>
    </xdr:pic>
    <xdr:clientData/>
  </xdr:twoCellAnchor>
  <xdr:twoCellAnchor>
    <xdr:from>
      <xdr:col>0</xdr:col>
      <xdr:colOff>0</xdr:colOff>
      <xdr:row>0</xdr:row>
      <xdr:rowOff>0</xdr:rowOff>
    </xdr:from>
    <xdr:to>
      <xdr:col>0</xdr:col>
      <xdr:colOff>1257300</xdr:colOff>
      <xdr:row>2</xdr:row>
      <xdr:rowOff>0</xdr:rowOff>
    </xdr:to>
    <xdr:pic>
      <xdr:nvPicPr>
        <xdr:cNvPr id="2" name="Picture 1"/>
        <xdr:cNvPicPr preferRelativeResize="1">
          <a:picLocks noChangeAspect="1"/>
        </xdr:cNvPicPr>
      </xdr:nvPicPr>
      <xdr:blipFill>
        <a:blip r:embed="rId1"/>
        <a:stretch>
          <a:fillRect/>
        </a:stretch>
      </xdr:blipFill>
      <xdr:spPr>
        <a:xfrm>
          <a:off x="0" y="0"/>
          <a:ext cx="1257300" cy="533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1266825</xdr:colOff>
      <xdr:row>2</xdr:row>
      <xdr:rowOff>38100</xdr:rowOff>
    </xdr:to>
    <xdr:pic>
      <xdr:nvPicPr>
        <xdr:cNvPr id="1" name="Picture 1"/>
        <xdr:cNvPicPr preferRelativeResize="1">
          <a:picLocks noChangeAspect="1"/>
        </xdr:cNvPicPr>
      </xdr:nvPicPr>
      <xdr:blipFill>
        <a:blip r:embed="rId1"/>
        <a:stretch>
          <a:fillRect/>
        </a:stretch>
      </xdr:blipFill>
      <xdr:spPr>
        <a:xfrm>
          <a:off x="0" y="0"/>
          <a:ext cx="1266825" cy="561975"/>
        </a:xfrm>
        <a:prstGeom prst="rect">
          <a:avLst/>
        </a:prstGeom>
        <a:noFill/>
        <a:ln w="9525" cmpd="sng">
          <a:noFill/>
        </a:ln>
      </xdr:spPr>
    </xdr:pic>
    <xdr:clientData/>
  </xdr:twoCellAnchor>
  <xdr:twoCellAnchor>
    <xdr:from>
      <xdr:col>0</xdr:col>
      <xdr:colOff>28575</xdr:colOff>
      <xdr:row>0</xdr:row>
      <xdr:rowOff>28575</xdr:rowOff>
    </xdr:from>
    <xdr:to>
      <xdr:col>0</xdr:col>
      <xdr:colOff>1238250</xdr:colOff>
      <xdr:row>2</xdr:row>
      <xdr:rowOff>9525</xdr:rowOff>
    </xdr:to>
    <xdr:pic>
      <xdr:nvPicPr>
        <xdr:cNvPr id="2" name="Picture 1"/>
        <xdr:cNvPicPr preferRelativeResize="1">
          <a:picLocks noChangeAspect="1"/>
        </xdr:cNvPicPr>
      </xdr:nvPicPr>
      <xdr:blipFill>
        <a:blip r:embed="rId1"/>
        <a:stretch>
          <a:fillRect/>
        </a:stretch>
      </xdr:blipFill>
      <xdr:spPr>
        <a:xfrm>
          <a:off x="28575" y="28575"/>
          <a:ext cx="12096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hoff@groasis.com"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9" sqref="A9"/>
    </sheetView>
  </sheetViews>
  <sheetFormatPr defaultColWidth="9.140625" defaultRowHeight="15"/>
  <cols>
    <col min="1" max="1" width="78.421875" style="1" customWidth="1"/>
    <col min="2" max="16384" width="9.140625" style="1" customWidth="1"/>
  </cols>
  <sheetData>
    <row r="1" ht="12.75">
      <c r="A1" s="2"/>
    </row>
    <row r="2" ht="12.75">
      <c r="A2" s="2"/>
    </row>
    <row r="3" ht="23.25">
      <c r="A3" s="3"/>
    </row>
    <row r="4" ht="12.75">
      <c r="A4" s="2"/>
    </row>
    <row r="5" ht="12.75">
      <c r="A5" s="2"/>
    </row>
    <row r="6" ht="12.75">
      <c r="A6" s="2"/>
    </row>
    <row r="7" ht="87" customHeight="1">
      <c r="A7" s="4" t="s">
        <v>0</v>
      </c>
    </row>
    <row r="8" ht="31.5">
      <c r="A8" s="5" t="s">
        <v>1</v>
      </c>
    </row>
    <row r="9" ht="31.5">
      <c r="A9" s="6" t="s">
        <v>2</v>
      </c>
    </row>
    <row r="10" ht="33">
      <c r="A10" s="67" t="s">
        <v>171</v>
      </c>
    </row>
    <row r="11" ht="31.5">
      <c r="A11" s="6"/>
    </row>
    <row r="12" ht="63">
      <c r="A12" s="7" t="s">
        <v>164</v>
      </c>
    </row>
    <row r="13" ht="15.75">
      <c r="A13" s="8"/>
    </row>
    <row r="14" ht="12.75">
      <c r="A14" s="9" t="s">
        <v>3</v>
      </c>
    </row>
    <row r="15" ht="12.75">
      <c r="A15" s="10" t="s">
        <v>4</v>
      </c>
    </row>
    <row r="18" ht="15.75">
      <c r="A18" s="11"/>
    </row>
    <row r="19" ht="15.75">
      <c r="A19" s="11"/>
    </row>
    <row r="20" ht="12.75">
      <c r="A20" s="2"/>
    </row>
    <row r="21" ht="12.75">
      <c r="A21" s="2"/>
    </row>
    <row r="22" ht="12.75">
      <c r="A22" s="2"/>
    </row>
    <row r="23" ht="15.75">
      <c r="A23" s="12" t="s">
        <v>5</v>
      </c>
    </row>
    <row r="24" ht="12.75">
      <c r="A24" s="13" t="s">
        <v>6</v>
      </c>
    </row>
    <row r="25" ht="15.75">
      <c r="A25" s="12"/>
    </row>
    <row r="27" ht="12.75">
      <c r="A27" s="2"/>
    </row>
    <row r="28" ht="12.75">
      <c r="A28" s="14" t="s">
        <v>7</v>
      </c>
    </row>
  </sheetData>
  <sheetProtection selectLockedCells="1" selectUnlockedCells="1"/>
  <hyperlinks>
    <hyperlink ref="A24" r:id="rId1" display="phoff@groasis.com"/>
  </hyperlinks>
  <printOptions/>
  <pageMargins left="0.75" right="0.75" top="1" bottom="1" header="0.5118055555555555" footer="0.5118055555555555"/>
  <pageSetup horizontalDpi="300" verticalDpi="300" orientation="portrait" paperSize="9"/>
  <drawing r:id="rId2"/>
</worksheet>
</file>

<file path=xl/worksheets/sheet2.xml><?xml version="1.0" encoding="utf-8"?>
<worksheet xmlns="http://schemas.openxmlformats.org/spreadsheetml/2006/main" xmlns:r="http://schemas.openxmlformats.org/officeDocument/2006/relationships">
  <dimension ref="A1:E26"/>
  <sheetViews>
    <sheetView zoomScalePageLayoutView="0" workbookViewId="0" topLeftCell="A1">
      <selection activeCell="A1" sqref="A1"/>
    </sheetView>
  </sheetViews>
  <sheetFormatPr defaultColWidth="9.140625" defaultRowHeight="15"/>
  <cols>
    <col min="1" max="1" width="55.57421875" style="0" customWidth="1"/>
    <col min="2" max="2" width="9.57421875" style="0" customWidth="1"/>
    <col min="3" max="3" width="18.00390625" style="0" bestFit="1" customWidth="1"/>
    <col min="4" max="4" width="5.140625" style="0" customWidth="1"/>
  </cols>
  <sheetData>
    <row r="1" spans="1:5" s="16" customFormat="1" ht="27" customHeight="1">
      <c r="A1" s="15" t="s">
        <v>8</v>
      </c>
      <c r="B1" s="15"/>
      <c r="C1" s="15"/>
      <c r="D1" s="85"/>
      <c r="E1" s="85"/>
    </row>
    <row r="2" spans="1:5" s="16" customFormat="1" ht="15">
      <c r="A2" s="15" t="s">
        <v>9</v>
      </c>
      <c r="B2" s="15"/>
      <c r="C2" s="15"/>
      <c r="D2" s="85"/>
      <c r="E2" s="85"/>
    </row>
    <row r="3" s="16" customFormat="1" ht="15"/>
    <row r="4" s="16" customFormat="1" ht="15">
      <c r="A4" s="17" t="s">
        <v>10</v>
      </c>
    </row>
    <row r="5" spans="1:5" s="16" customFormat="1" ht="30.75" customHeight="1">
      <c r="A5" s="88" t="s">
        <v>11</v>
      </c>
      <c r="B5" s="88"/>
      <c r="C5" s="88"/>
      <c r="D5" s="88"/>
      <c r="E5" s="88"/>
    </row>
    <row r="7" ht="15.75" thickBot="1">
      <c r="A7" s="68" t="s">
        <v>37</v>
      </c>
    </row>
    <row r="8" spans="1:3" ht="15.75" thickBot="1">
      <c r="A8" t="s">
        <v>38</v>
      </c>
      <c r="C8" s="69"/>
    </row>
    <row r="10" ht="15.75" thickBot="1">
      <c r="A10" s="18" t="s">
        <v>12</v>
      </c>
    </row>
    <row r="11" spans="1:5" ht="15.75" thickBot="1">
      <c r="A11" s="19" t="s">
        <v>13</v>
      </c>
      <c r="B11" s="20" t="s">
        <v>14</v>
      </c>
      <c r="C11" s="19">
        <v>2000000000</v>
      </c>
      <c r="E11" s="21" t="s">
        <v>15</v>
      </c>
    </row>
    <row r="12" spans="1:5" ht="15.75" thickBot="1">
      <c r="A12" s="19" t="s">
        <v>16</v>
      </c>
      <c r="B12" s="20" t="s">
        <v>17</v>
      </c>
      <c r="C12" s="19">
        <v>60</v>
      </c>
      <c r="E12" s="21" t="s">
        <v>18</v>
      </c>
    </row>
    <row r="13" spans="1:5" ht="15.75" thickBot="1">
      <c r="A13" s="19" t="s">
        <v>19</v>
      </c>
      <c r="B13" s="20" t="s">
        <v>20</v>
      </c>
      <c r="C13" s="19">
        <v>5</v>
      </c>
      <c r="E13" s="21" t="s">
        <v>21</v>
      </c>
    </row>
    <row r="14" spans="1:5" ht="15.75" thickBot="1">
      <c r="A14" s="19" t="s">
        <v>22</v>
      </c>
      <c r="B14" s="20"/>
      <c r="C14" s="19">
        <v>250</v>
      </c>
      <c r="E14" s="21" t="s">
        <v>23</v>
      </c>
    </row>
    <row r="15" spans="1:5" ht="15.75" thickBot="1">
      <c r="A15" s="19" t="s">
        <v>24</v>
      </c>
      <c r="B15" s="20"/>
      <c r="C15" s="19">
        <v>46</v>
      </c>
      <c r="E15" s="21" t="s">
        <v>25</v>
      </c>
    </row>
    <row r="16" spans="1:4" ht="15">
      <c r="A16" s="22" t="s">
        <v>26</v>
      </c>
      <c r="B16" s="20" t="s">
        <v>27</v>
      </c>
      <c r="C16" s="22">
        <f>Employment!C13</f>
        <v>724637.6811594203</v>
      </c>
      <c r="D16" s="21"/>
    </row>
    <row r="17" spans="1:3" ht="15">
      <c r="A17" s="20" t="s">
        <v>28</v>
      </c>
      <c r="B17" s="20" t="s">
        <v>29</v>
      </c>
      <c r="C17" s="22">
        <f>C25/C12</f>
        <v>56275.199591666664</v>
      </c>
    </row>
    <row r="18" spans="1:3" ht="15">
      <c r="A18" s="20" t="s">
        <v>30</v>
      </c>
      <c r="B18" s="20" t="s">
        <v>20</v>
      </c>
      <c r="C18" s="22">
        <f>(C25*1000000)/C11</f>
        <v>1688.2559877499998</v>
      </c>
    </row>
    <row r="19" spans="1:3" ht="15">
      <c r="A19" s="20" t="s">
        <v>31</v>
      </c>
      <c r="B19" s="20" t="s">
        <v>32</v>
      </c>
      <c r="C19" s="22">
        <f>Employment!C53</f>
        <v>7481233.666666667</v>
      </c>
    </row>
    <row r="20" spans="1:3" ht="15">
      <c r="A20" s="20" t="s">
        <v>33</v>
      </c>
      <c r="B20" s="20" t="s">
        <v>34</v>
      </c>
      <c r="C20" s="22">
        <f>Nursery!C26</f>
        <v>77717391.30434781</v>
      </c>
    </row>
    <row r="21" spans="1:3" ht="15">
      <c r="A21" s="61" t="s">
        <v>169</v>
      </c>
      <c r="B21" s="20">
        <v>15</v>
      </c>
      <c r="C21" s="22">
        <f>C11*B21</f>
        <v>30000000000</v>
      </c>
    </row>
    <row r="22" spans="1:3" ht="15.75" thickBot="1">
      <c r="A22" s="61" t="s">
        <v>170</v>
      </c>
      <c r="B22" s="87">
        <f>50+(C12/2)</f>
        <v>80</v>
      </c>
      <c r="C22" s="22">
        <f>C21*B22</f>
        <v>2400000000000</v>
      </c>
    </row>
    <row r="23" spans="1:3" ht="15.75" thickBot="1">
      <c r="A23" s="20" t="s">
        <v>175</v>
      </c>
      <c r="B23" s="20"/>
      <c r="C23" s="62">
        <f>(C25*1000000)/C22</f>
        <v>1.4068799897916664</v>
      </c>
    </row>
    <row r="24" spans="1:3" ht="15.75" thickBot="1">
      <c r="A24" s="20" t="s">
        <v>35</v>
      </c>
      <c r="B24" s="20"/>
      <c r="C24" s="22">
        <f>'Planting Cost and Info'!C16*'Planting Cost and Info'!C22*'Planting Cost and Info'!C8</f>
        <v>900000000000</v>
      </c>
    </row>
    <row r="25" spans="1:3" ht="15">
      <c r="A25" s="59" t="s">
        <v>36</v>
      </c>
      <c r="B25" s="59" t="s">
        <v>29</v>
      </c>
      <c r="C25" s="60">
        <f>'Planting Cost and Info'!C59*'Planting Cost and Info'!C8/1000000</f>
        <v>3376511.9754999997</v>
      </c>
    </row>
    <row r="26" spans="1:3" s="25" customFormat="1" ht="15">
      <c r="A26" s="23"/>
      <c r="B26" s="23"/>
      <c r="C26" s="24"/>
    </row>
  </sheetData>
  <sheetProtection selectLockedCells="1" selectUnlockedCells="1"/>
  <mergeCells count="1">
    <mergeCell ref="A5:E5"/>
  </mergeCells>
  <printOptions/>
  <pageMargins left="0.7" right="0.7" top="0.75" bottom="0.75" header="0.5118055555555555" footer="0.5118055555555555"/>
  <pageSetup horizontalDpi="300" verticalDpi="300"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N60"/>
  <sheetViews>
    <sheetView zoomScalePageLayoutView="0" workbookViewId="0" topLeftCell="A1">
      <selection activeCell="F5" sqref="F5"/>
    </sheetView>
  </sheetViews>
  <sheetFormatPr defaultColWidth="9.140625" defaultRowHeight="15"/>
  <cols>
    <col min="1" max="1" width="72.421875" style="0" customWidth="1"/>
    <col min="3" max="3" width="13.8515625" style="0" customWidth="1"/>
    <col min="4" max="4" width="3.8515625" style="0" customWidth="1"/>
    <col min="9" max="9" width="10.00390625" style="0" customWidth="1"/>
  </cols>
  <sheetData>
    <row r="1" spans="1:5" s="16" customFormat="1" ht="27.75" customHeight="1">
      <c r="A1" s="15" t="s">
        <v>8</v>
      </c>
      <c r="B1" s="15"/>
      <c r="C1" s="15"/>
      <c r="D1" s="85"/>
      <c r="E1" s="85"/>
    </row>
    <row r="2" spans="1:5" s="16" customFormat="1" ht="15">
      <c r="A2" s="15" t="s">
        <v>9</v>
      </c>
      <c r="B2" s="15"/>
      <c r="C2" s="15"/>
      <c r="D2" s="86"/>
      <c r="E2" s="86"/>
    </row>
    <row r="4" ht="15">
      <c r="A4" t="s">
        <v>39</v>
      </c>
    </row>
    <row r="6" spans="1:3" ht="15">
      <c r="A6" s="27" t="s">
        <v>40</v>
      </c>
      <c r="B6" s="28" t="s">
        <v>41</v>
      </c>
      <c r="C6" s="29" t="s">
        <v>42</v>
      </c>
    </row>
    <row r="8" spans="1:3" ht="15">
      <c r="A8" t="s">
        <v>43</v>
      </c>
      <c r="B8" t="s">
        <v>14</v>
      </c>
      <c r="C8" s="24">
        <f>'Introduction and Summary'!C11</f>
        <v>2000000000</v>
      </c>
    </row>
    <row r="9" spans="1:3" ht="15">
      <c r="A9" t="s">
        <v>44</v>
      </c>
      <c r="B9" t="s">
        <v>17</v>
      </c>
      <c r="C9" s="24">
        <f>'Introduction and Summary'!C12</f>
        <v>60</v>
      </c>
    </row>
    <row r="11" spans="1:3" ht="15">
      <c r="A11" t="s">
        <v>45</v>
      </c>
      <c r="B11" t="s">
        <v>20</v>
      </c>
      <c r="C11" s="24">
        <f>Employment!C42*'Introduction and Summary'!C13</f>
        <v>40</v>
      </c>
    </row>
    <row r="12" spans="1:3" ht="15">
      <c r="A12" s="30" t="s">
        <v>46</v>
      </c>
      <c r="B12" s="30" t="s">
        <v>20</v>
      </c>
      <c r="C12" s="31">
        <f>C11</f>
        <v>40</v>
      </c>
    </row>
    <row r="14" spans="1:3" ht="15">
      <c r="A14" t="s">
        <v>47</v>
      </c>
      <c r="C14" s="32">
        <f>'Introduction and Summary'!C14</f>
        <v>250</v>
      </c>
    </row>
    <row r="15" spans="1:14" ht="15">
      <c r="A15" t="s">
        <v>48</v>
      </c>
      <c r="C15" s="33">
        <v>2</v>
      </c>
      <c r="E15" s="21" t="s">
        <v>49</v>
      </c>
      <c r="M15" s="34">
        <v>1</v>
      </c>
      <c r="N15" s="34">
        <v>2</v>
      </c>
    </row>
    <row r="16" spans="1:3" ht="15">
      <c r="A16" t="s">
        <v>50</v>
      </c>
      <c r="C16" s="32">
        <f>C14*C15</f>
        <v>500</v>
      </c>
    </row>
    <row r="17" spans="1:14" ht="15">
      <c r="A17" t="s">
        <v>51</v>
      </c>
      <c r="C17" s="33">
        <v>2</v>
      </c>
      <c r="E17" s="21" t="s">
        <v>52</v>
      </c>
      <c r="M17" s="34">
        <v>1</v>
      </c>
      <c r="N17" s="34">
        <v>2</v>
      </c>
    </row>
    <row r="18" spans="1:5" ht="15">
      <c r="A18" t="s">
        <v>53</v>
      </c>
      <c r="B18" t="s">
        <v>20</v>
      </c>
      <c r="C18" s="33">
        <v>0.25</v>
      </c>
      <c r="E18" s="44" t="s">
        <v>54</v>
      </c>
    </row>
    <row r="19" spans="1:5" ht="15">
      <c r="A19" t="s">
        <v>55</v>
      </c>
      <c r="B19" t="s">
        <v>20</v>
      </c>
      <c r="C19" s="36">
        <v>0.25</v>
      </c>
      <c r="E19" s="44" t="s">
        <v>54</v>
      </c>
    </row>
    <row r="20" spans="1:3" ht="15">
      <c r="A20" s="30" t="s">
        <v>56</v>
      </c>
      <c r="B20" s="30" t="s">
        <v>20</v>
      </c>
      <c r="C20" s="37">
        <f>IF(C17=M17,(C16*C18),(((C16/2)*C18)+((C16/2)*C19)))</f>
        <v>125</v>
      </c>
    </row>
    <row r="22" spans="1:3" ht="15">
      <c r="A22" t="s">
        <v>57</v>
      </c>
      <c r="B22" t="s">
        <v>58</v>
      </c>
      <c r="C22" s="38">
        <v>0.9</v>
      </c>
    </row>
    <row r="23" spans="1:3" ht="15">
      <c r="A23" t="s">
        <v>59</v>
      </c>
      <c r="C23" s="39">
        <f>C22*C16</f>
        <v>450</v>
      </c>
    </row>
    <row r="24" spans="1:3" ht="15">
      <c r="A24" t="s">
        <v>60</v>
      </c>
      <c r="B24" t="s">
        <v>34</v>
      </c>
      <c r="C24" s="40">
        <f>ROUND(10000/(C16*C22),0)</f>
        <v>22</v>
      </c>
    </row>
    <row r="26" spans="1:5" s="54" customFormat="1" ht="15">
      <c r="A26" s="54" t="s">
        <v>61</v>
      </c>
      <c r="B26" s="54" t="s">
        <v>20</v>
      </c>
      <c r="C26" s="55">
        <v>15</v>
      </c>
      <c r="E26" s="56" t="s">
        <v>62</v>
      </c>
    </row>
    <row r="27" spans="1:5" s="54" customFormat="1" ht="15">
      <c r="A27" s="57" t="s">
        <v>63</v>
      </c>
      <c r="B27" s="57" t="s">
        <v>20</v>
      </c>
      <c r="C27" s="58">
        <f>(((C26/10)+5%)*C14)</f>
        <v>387.5</v>
      </c>
      <c r="E27" s="56" t="s">
        <v>163</v>
      </c>
    </row>
    <row r="29" spans="1:3" ht="15">
      <c r="A29" t="s">
        <v>64</v>
      </c>
      <c r="C29" s="39">
        <f>C14</f>
        <v>250</v>
      </c>
    </row>
    <row r="30" spans="1:3" ht="15">
      <c r="A30" t="s">
        <v>65</v>
      </c>
      <c r="B30" t="s">
        <v>20</v>
      </c>
      <c r="C30" s="36">
        <v>0.18</v>
      </c>
    </row>
    <row r="31" spans="1:3" ht="15">
      <c r="A31" t="s">
        <v>66</v>
      </c>
      <c r="B31" t="s">
        <v>20</v>
      </c>
      <c r="C31" s="42">
        <f>'Introduction and Summary'!C13/Employment!C23</f>
        <v>0.16666666666666666</v>
      </c>
    </row>
    <row r="32" spans="1:3" ht="15">
      <c r="A32" s="30" t="s">
        <v>67</v>
      </c>
      <c r="B32" s="30" t="s">
        <v>20</v>
      </c>
      <c r="C32" s="31">
        <f>C29*(C30+C31)</f>
        <v>86.66666666666667</v>
      </c>
    </row>
    <row r="34" spans="1:4" ht="15">
      <c r="A34" t="s">
        <v>68</v>
      </c>
      <c r="B34" s="35" t="s">
        <v>20</v>
      </c>
      <c r="C34" s="66">
        <f>'Introduction and Summary'!C13/Employment!C28</f>
        <v>0.625</v>
      </c>
      <c r="D34" s="25"/>
    </row>
    <row r="35" spans="1:3" ht="15">
      <c r="A35" t="s">
        <v>69</v>
      </c>
      <c r="B35" s="35" t="s">
        <v>20</v>
      </c>
      <c r="C35" s="42">
        <f>Employment!C49/Employment!C29</f>
        <v>0.546875</v>
      </c>
    </row>
    <row r="36" spans="1:3" ht="15">
      <c r="A36" s="30" t="s">
        <v>70</v>
      </c>
      <c r="B36" s="30" t="s">
        <v>20</v>
      </c>
      <c r="C36" s="41">
        <f>(C34+C35)*C14</f>
        <v>292.96875</v>
      </c>
    </row>
    <row r="38" spans="1:13" ht="15">
      <c r="A38" s="25" t="s">
        <v>172</v>
      </c>
      <c r="B38" t="s">
        <v>71</v>
      </c>
      <c r="C38" s="33">
        <v>60</v>
      </c>
      <c r="E38" s="44" t="s">
        <v>72</v>
      </c>
      <c r="F38" s="25"/>
      <c r="G38" s="25"/>
      <c r="H38" s="25"/>
      <c r="I38" s="25"/>
      <c r="J38" s="25"/>
      <c r="K38" s="25"/>
      <c r="L38" s="25"/>
      <c r="M38" s="25"/>
    </row>
    <row r="39" spans="1:3" ht="15">
      <c r="A39" s="25" t="s">
        <v>73</v>
      </c>
      <c r="B39" s="35" t="s">
        <v>20</v>
      </c>
      <c r="C39" s="33">
        <v>0.01</v>
      </c>
    </row>
    <row r="40" spans="1:3" ht="15">
      <c r="A40" s="45" t="s">
        <v>74</v>
      </c>
      <c r="B40" s="30" t="s">
        <v>20</v>
      </c>
      <c r="C40" s="30">
        <f>C39*(C38*C14)</f>
        <v>150</v>
      </c>
    </row>
    <row r="41" ht="15">
      <c r="A41" s="25"/>
    </row>
    <row r="42" spans="1:7" ht="15">
      <c r="A42" s="45" t="s">
        <v>75</v>
      </c>
      <c r="B42" s="45"/>
      <c r="C42" s="45">
        <f>(C14/Employment!C39)*'Introduction and Summary'!C13</f>
        <v>62.5</v>
      </c>
      <c r="G42" s="48"/>
    </row>
    <row r="44" spans="1:3" ht="15">
      <c r="A44" s="25" t="s">
        <v>174</v>
      </c>
      <c r="B44" s="25" t="s">
        <v>20</v>
      </c>
      <c r="C44" s="33">
        <v>0.3</v>
      </c>
    </row>
    <row r="45" spans="1:3" ht="15.75" customHeight="1">
      <c r="A45" s="45" t="s">
        <v>165</v>
      </c>
      <c r="B45" s="45" t="s">
        <v>20</v>
      </c>
      <c r="C45" s="45">
        <f>C16*C44</f>
        <v>150</v>
      </c>
    </row>
    <row r="46" ht="15.75" customHeight="1"/>
    <row r="47" spans="1:3" ht="15">
      <c r="A47" t="s">
        <v>76</v>
      </c>
      <c r="B47" t="s">
        <v>20</v>
      </c>
      <c r="C47" s="33">
        <v>0.05</v>
      </c>
    </row>
    <row r="48" spans="1:3" ht="15">
      <c r="A48" t="s">
        <v>77</v>
      </c>
      <c r="B48" t="s">
        <v>20</v>
      </c>
      <c r="C48">
        <f>'Introduction and Summary'!C13/('Planting Cost and Info'!C14/Employment!C32)</f>
        <v>0.24000000000000002</v>
      </c>
    </row>
    <row r="49" spans="1:3" ht="15">
      <c r="A49" s="30" t="s">
        <v>78</v>
      </c>
      <c r="B49" s="30" t="s">
        <v>20</v>
      </c>
      <c r="C49" s="30">
        <f>(C47+C48)*C14</f>
        <v>72.50000000000001</v>
      </c>
    </row>
    <row r="50" spans="5:7" ht="15">
      <c r="E50" s="25"/>
      <c r="F50" s="25"/>
      <c r="G50" s="25"/>
    </row>
    <row r="51" spans="1:5" ht="15">
      <c r="A51" s="30" t="s">
        <v>79</v>
      </c>
      <c r="B51" s="30" t="s">
        <v>20</v>
      </c>
      <c r="C51" s="31">
        <f>('Management Flow Chart'!E28+'Management Flow Chart'!H28)/'Management Flow Chart'!C7</f>
        <v>72.128</v>
      </c>
      <c r="E51" s="21" t="s">
        <v>168</v>
      </c>
    </row>
    <row r="53" spans="1:3" ht="15">
      <c r="A53" s="35" t="s">
        <v>166</v>
      </c>
      <c r="B53" t="s">
        <v>58</v>
      </c>
      <c r="C53" s="38">
        <v>0.02</v>
      </c>
    </row>
    <row r="54" spans="1:3" ht="15">
      <c r="A54" s="30" t="s">
        <v>167</v>
      </c>
      <c r="B54" s="30" t="s">
        <v>20</v>
      </c>
      <c r="C54" s="31">
        <f>C53*(C51+C49+C45+C42+C40+C36+C32+C27+C20+C12)</f>
        <v>28.785268333333335</v>
      </c>
    </row>
    <row r="56" spans="1:3" ht="15">
      <c r="A56" t="s">
        <v>80</v>
      </c>
      <c r="B56" t="s">
        <v>58</v>
      </c>
      <c r="C56" s="38">
        <v>0.15</v>
      </c>
    </row>
    <row r="57" spans="1:3" ht="15">
      <c r="A57" s="30" t="s">
        <v>81</v>
      </c>
      <c r="B57" s="30" t="s">
        <v>20</v>
      </c>
      <c r="C57" s="31">
        <f>C56*(C54+C51+C49+C45+C42+C40+C36+C32+C27+C20+C12)</f>
        <v>220.20730275</v>
      </c>
    </row>
    <row r="59" spans="1:3" ht="15">
      <c r="A59" s="70" t="s">
        <v>82</v>
      </c>
      <c r="B59" s="70" t="s">
        <v>83</v>
      </c>
      <c r="C59" s="71">
        <f>C12+C20+C27+C32+C36+C40+C42+C45+C49+C51+C54+C57</f>
        <v>1688.2559877499998</v>
      </c>
    </row>
    <row r="60" spans="1:3" ht="15">
      <c r="A60" s="72"/>
      <c r="B60" s="70" t="s">
        <v>84</v>
      </c>
      <c r="C60" s="73">
        <f>C59/C16</f>
        <v>3.3765119754999997</v>
      </c>
    </row>
  </sheetData>
  <sheetProtection selectLockedCells="1" selectUnlockedCells="1"/>
  <dataValidations count="1">
    <dataValidation type="list" allowBlank="1" showErrorMessage="1" sqref="C15 C17">
      <formula1>'Planting Cost and Info'!$M$17:$N$17</formula1>
      <formula2>0</formula2>
    </dataValidation>
  </dataValidations>
  <printOptions/>
  <pageMargins left="0.7" right="0.7" top="0.75" bottom="0.75" header="0.5118055555555555" footer="0.5118055555555555"/>
  <pageSetup horizontalDpi="300" verticalDpi="3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dimension ref="A1:P56"/>
  <sheetViews>
    <sheetView zoomScalePageLayoutView="0" workbookViewId="0" topLeftCell="A1">
      <selection activeCell="A1" sqref="A1"/>
    </sheetView>
  </sheetViews>
  <sheetFormatPr defaultColWidth="9.140625" defaultRowHeight="15"/>
  <cols>
    <col min="1" max="1" width="54.7109375" style="0" customWidth="1"/>
    <col min="2" max="2" width="13.8515625" style="0" customWidth="1"/>
    <col min="3" max="3" width="14.00390625" style="0" customWidth="1"/>
    <col min="4" max="4" width="4.421875" style="0" customWidth="1"/>
    <col min="10" max="10" width="10.00390625" style="0" customWidth="1"/>
  </cols>
  <sheetData>
    <row r="1" spans="1:5" s="16" customFormat="1" ht="27" customHeight="1">
      <c r="A1" s="82" t="s">
        <v>8</v>
      </c>
      <c r="B1" s="15"/>
      <c r="C1" s="15"/>
      <c r="D1" s="23"/>
      <c r="E1" s="23"/>
    </row>
    <row r="2" spans="1:5" s="16" customFormat="1" ht="15">
      <c r="A2" s="15" t="s">
        <v>9</v>
      </c>
      <c r="B2" s="15"/>
      <c r="C2" s="15"/>
      <c r="D2" s="23"/>
      <c r="E2" s="23"/>
    </row>
    <row r="4" ht="15">
      <c r="A4" s="25" t="s">
        <v>85</v>
      </c>
    </row>
    <row r="6" spans="1:3" ht="15">
      <c r="A6" s="27" t="s">
        <v>40</v>
      </c>
      <c r="B6" s="28" t="s">
        <v>41</v>
      </c>
      <c r="C6" s="29" t="s">
        <v>42</v>
      </c>
    </row>
    <row r="8" spans="1:3" ht="15">
      <c r="A8" t="s">
        <v>43</v>
      </c>
      <c r="B8" t="s">
        <v>14</v>
      </c>
      <c r="C8" s="24">
        <f>'Planting Cost and Info'!C8</f>
        <v>2000000000</v>
      </c>
    </row>
    <row r="9" spans="1:3" ht="15">
      <c r="A9" t="s">
        <v>44</v>
      </c>
      <c r="B9" t="s">
        <v>17</v>
      </c>
      <c r="C9" s="24">
        <f>'Planting Cost and Info'!C9</f>
        <v>60</v>
      </c>
    </row>
    <row r="11" spans="1:3" ht="15">
      <c r="A11" t="s">
        <v>86</v>
      </c>
      <c r="B11" t="s">
        <v>14</v>
      </c>
      <c r="C11" s="24">
        <f>C8/C9</f>
        <v>33333333.333333332</v>
      </c>
    </row>
    <row r="12" spans="1:3" ht="15">
      <c r="A12" t="s">
        <v>87</v>
      </c>
      <c r="B12" t="s">
        <v>88</v>
      </c>
      <c r="C12" s="24">
        <f>'Introduction and Summary'!C15</f>
        <v>46</v>
      </c>
    </row>
    <row r="13" spans="1:3" ht="15">
      <c r="A13" t="s">
        <v>89</v>
      </c>
      <c r="B13" t="s">
        <v>14</v>
      </c>
      <c r="C13" s="64">
        <f>C11/C12</f>
        <v>724637.6811594203</v>
      </c>
    </row>
    <row r="15" spans="1:3" ht="15">
      <c r="A15" t="s">
        <v>90</v>
      </c>
      <c r="C15" s="46">
        <f>C13*'Planting Cost and Info'!C14</f>
        <v>181159420.28985506</v>
      </c>
    </row>
    <row r="16" spans="1:3" ht="15">
      <c r="A16" t="s">
        <v>91</v>
      </c>
      <c r="C16" s="46">
        <f>C13*'Planting Cost and Info'!C16</f>
        <v>362318840.5797101</v>
      </c>
    </row>
    <row r="18" spans="1:3" ht="15">
      <c r="A18" t="s">
        <v>92</v>
      </c>
      <c r="B18" t="s">
        <v>93</v>
      </c>
      <c r="C18" s="33">
        <v>5</v>
      </c>
    </row>
    <row r="19" spans="1:3" ht="15">
      <c r="A19" t="s">
        <v>94</v>
      </c>
      <c r="B19" t="s">
        <v>95</v>
      </c>
      <c r="C19" s="33">
        <v>8</v>
      </c>
    </row>
    <row r="20" spans="1:3" ht="15">
      <c r="A20" t="s">
        <v>96</v>
      </c>
      <c r="C20" s="46">
        <f>C15/C18</f>
        <v>36231884.057971016</v>
      </c>
    </row>
    <row r="22" spans="1:3" ht="15">
      <c r="A22" t="s">
        <v>97</v>
      </c>
      <c r="B22" t="s">
        <v>95</v>
      </c>
      <c r="C22" s="33">
        <v>12</v>
      </c>
    </row>
    <row r="23" spans="1:3" ht="15">
      <c r="A23" t="s">
        <v>98</v>
      </c>
      <c r="C23" s="33">
        <v>30</v>
      </c>
    </row>
    <row r="24" spans="1:3" ht="15">
      <c r="A24" t="s">
        <v>99</v>
      </c>
      <c r="C24" s="39">
        <f>C22*C23</f>
        <v>360</v>
      </c>
    </row>
    <row r="25" spans="1:3" ht="15">
      <c r="A25" t="s">
        <v>100</v>
      </c>
      <c r="C25" s="46">
        <f>ROUND(C20/C24,0)</f>
        <v>100644</v>
      </c>
    </row>
    <row r="26" spans="1:11" ht="15">
      <c r="A26" s="30" t="s">
        <v>101</v>
      </c>
      <c r="B26" s="30"/>
      <c r="C26" s="31">
        <f>ROUND(C25*C22/C19,0)</f>
        <v>150966</v>
      </c>
      <c r="K26" s="47"/>
    </row>
    <row r="28" spans="1:3" ht="15">
      <c r="A28" s="25" t="s">
        <v>102</v>
      </c>
      <c r="C28" s="33">
        <v>8</v>
      </c>
    </row>
    <row r="29" spans="1:7" ht="15">
      <c r="A29" s="25" t="s">
        <v>103</v>
      </c>
      <c r="C29" s="39">
        <f>C19*C28</f>
        <v>64</v>
      </c>
      <c r="G29" s="46"/>
    </row>
    <row r="30" spans="1:3" ht="15">
      <c r="A30" s="45" t="s">
        <v>104</v>
      </c>
      <c r="B30" s="30"/>
      <c r="C30" s="31">
        <f>ROUND(C20/C29,0)</f>
        <v>566123</v>
      </c>
    </row>
    <row r="31" ht="15">
      <c r="A31" s="25"/>
    </row>
    <row r="32" spans="1:3" ht="15">
      <c r="A32" s="48" t="s">
        <v>105</v>
      </c>
      <c r="C32" s="33">
        <v>12</v>
      </c>
    </row>
    <row r="33" spans="1:3" ht="15">
      <c r="A33" s="48" t="s">
        <v>106</v>
      </c>
      <c r="C33" s="39">
        <f>C19*C32</f>
        <v>96</v>
      </c>
    </row>
    <row r="34" spans="1:5" ht="15">
      <c r="A34" s="45" t="s">
        <v>107</v>
      </c>
      <c r="C34" s="45">
        <f>ROUND(C20/C33,0)</f>
        <v>377415</v>
      </c>
      <c r="D34" s="25"/>
      <c r="E34" s="21" t="s">
        <v>108</v>
      </c>
    </row>
    <row r="35" ht="15">
      <c r="A35" s="45"/>
    </row>
    <row r="36" spans="1:3" ht="15">
      <c r="A36" s="25" t="s">
        <v>109</v>
      </c>
      <c r="C36" s="33">
        <v>100</v>
      </c>
    </row>
    <row r="37" spans="1:3" ht="15">
      <c r="A37" s="45" t="s">
        <v>110</v>
      </c>
      <c r="B37" s="30"/>
      <c r="C37" s="31">
        <f>((C15/C18)/C36)/C19</f>
        <v>45289.85507246377</v>
      </c>
    </row>
    <row r="38" spans="1:3" ht="15">
      <c r="A38" s="45"/>
      <c r="B38" s="30"/>
      <c r="C38" s="31"/>
    </row>
    <row r="39" spans="1:16" ht="15">
      <c r="A39" s="25" t="s">
        <v>111</v>
      </c>
      <c r="B39" s="35"/>
      <c r="C39" s="33">
        <v>20</v>
      </c>
      <c r="E39" s="44" t="s">
        <v>112</v>
      </c>
      <c r="F39" s="25"/>
      <c r="G39" s="25"/>
      <c r="H39" s="25"/>
      <c r="I39" s="25"/>
      <c r="J39" s="25"/>
      <c r="K39" s="25"/>
      <c r="L39" s="25"/>
      <c r="M39" s="25"/>
      <c r="N39" s="25"/>
      <c r="O39" s="25"/>
      <c r="P39" s="25"/>
    </row>
    <row r="40" spans="1:3" ht="15">
      <c r="A40" s="45" t="s">
        <v>113</v>
      </c>
      <c r="B40" s="30"/>
      <c r="C40" s="31">
        <f>((C15/C18)/C39)/C19</f>
        <v>226449.27536231885</v>
      </c>
    </row>
    <row r="41" ht="15">
      <c r="A41" s="25"/>
    </row>
    <row r="42" spans="1:3" ht="15">
      <c r="A42" s="25" t="s">
        <v>114</v>
      </c>
      <c r="B42" t="s">
        <v>95</v>
      </c>
      <c r="C42" s="33">
        <v>8</v>
      </c>
    </row>
    <row r="43" spans="1:3" ht="15">
      <c r="A43" s="25" t="s">
        <v>115</v>
      </c>
      <c r="B43" t="s">
        <v>14</v>
      </c>
      <c r="C43" s="46">
        <f>C13/C18</f>
        <v>144927.53623188406</v>
      </c>
    </row>
    <row r="44" spans="1:3" ht="15">
      <c r="A44" s="45" t="s">
        <v>116</v>
      </c>
      <c r="C44" s="31">
        <f>(C43*C42)/C19</f>
        <v>144927.53623188406</v>
      </c>
    </row>
    <row r="45" ht="15">
      <c r="A45" s="25"/>
    </row>
    <row r="46" spans="1:7" ht="15">
      <c r="A46" s="25" t="s">
        <v>80</v>
      </c>
      <c r="B46" t="s">
        <v>58</v>
      </c>
      <c r="C46" s="65">
        <v>0.15</v>
      </c>
      <c r="E46" s="25"/>
      <c r="F46" s="25"/>
      <c r="G46" s="25"/>
    </row>
    <row r="47" spans="1:3" ht="15">
      <c r="A47" s="45" t="s">
        <v>117</v>
      </c>
      <c r="B47" s="30"/>
      <c r="C47" s="49">
        <f>ROUND(C46*(C44+C40+C37+C30+C26),0)</f>
        <v>170063</v>
      </c>
    </row>
    <row r="48" ht="15">
      <c r="A48" s="25"/>
    </row>
    <row r="49" spans="1:3" ht="15">
      <c r="A49" s="45" t="s">
        <v>118</v>
      </c>
      <c r="C49" s="33">
        <v>35</v>
      </c>
    </row>
    <row r="51" spans="1:3" ht="15">
      <c r="A51" s="30" t="s">
        <v>119</v>
      </c>
      <c r="B51" s="30"/>
      <c r="C51" s="74">
        <f>'Management Flow Chart'!C28*('Introduction and Summary'!C11/'Management Flow Chart'!C7)</f>
        <v>5800000</v>
      </c>
    </row>
    <row r="53" spans="1:3" ht="15">
      <c r="A53" s="70" t="s">
        <v>120</v>
      </c>
      <c r="B53" s="70"/>
      <c r="C53" s="75">
        <f>C51+C47+C44+C40+C37+C34+C30+C26</f>
        <v>7481233.666666667</v>
      </c>
    </row>
    <row r="56" spans="3:6" ht="15">
      <c r="C56" s="24"/>
      <c r="F56" s="21"/>
    </row>
  </sheetData>
  <sheetProtection selectLockedCells="1" selectUnlockedCells="1"/>
  <printOptions/>
  <pageMargins left="0.7" right="0.7" top="0.75" bottom="0.75" header="0.5118055555555555" footer="0.5118055555555555"/>
  <pageSetup horizontalDpi="300" verticalDpi="300" orientation="portrait" paperSize="9" scale="78"/>
  <drawing r:id="rId1"/>
</worksheet>
</file>

<file path=xl/worksheets/sheet5.xml><?xml version="1.0" encoding="utf-8"?>
<worksheet xmlns="http://schemas.openxmlformats.org/spreadsheetml/2006/main" xmlns:r="http://schemas.openxmlformats.org/officeDocument/2006/relationships">
  <dimension ref="A1:E29"/>
  <sheetViews>
    <sheetView zoomScalePageLayoutView="0" workbookViewId="0" topLeftCell="A1">
      <selection activeCell="A1" sqref="A1"/>
    </sheetView>
  </sheetViews>
  <sheetFormatPr defaultColWidth="9.140625" defaultRowHeight="15"/>
  <cols>
    <col min="1" max="1" width="68.140625" style="0" customWidth="1"/>
    <col min="2" max="2" width="17.57421875" style="0" customWidth="1"/>
    <col min="3" max="3" width="13.421875" style="0" customWidth="1"/>
    <col min="4" max="4" width="4.57421875" style="0" customWidth="1"/>
  </cols>
  <sheetData>
    <row r="1" spans="1:5" s="16" customFormat="1" ht="27" customHeight="1">
      <c r="A1" s="15" t="s">
        <v>8</v>
      </c>
      <c r="B1" s="15"/>
      <c r="C1" s="15"/>
      <c r="D1" s="23"/>
      <c r="E1" s="23"/>
    </row>
    <row r="2" spans="1:5" s="16" customFormat="1" ht="15">
      <c r="A2" s="15" t="s">
        <v>9</v>
      </c>
      <c r="B2" s="15"/>
      <c r="C2" s="15"/>
      <c r="D2" s="23"/>
      <c r="E2" s="23"/>
    </row>
    <row r="4" ht="15">
      <c r="A4" t="s">
        <v>121</v>
      </c>
    </row>
    <row r="6" spans="1:3" ht="15">
      <c r="A6" s="27" t="s">
        <v>40</v>
      </c>
      <c r="B6" s="28" t="s">
        <v>41</v>
      </c>
      <c r="C6" s="29" t="s">
        <v>42</v>
      </c>
    </row>
    <row r="8" spans="1:3" ht="15">
      <c r="A8" t="s">
        <v>122</v>
      </c>
      <c r="B8" t="s">
        <v>88</v>
      </c>
      <c r="C8" s="33">
        <v>52</v>
      </c>
    </row>
    <row r="10" spans="1:3" ht="15">
      <c r="A10" t="s">
        <v>123</v>
      </c>
      <c r="B10" t="s">
        <v>124</v>
      </c>
      <c r="C10" s="33">
        <v>400</v>
      </c>
    </row>
    <row r="11" spans="1:5" ht="15">
      <c r="A11" t="s">
        <v>125</v>
      </c>
      <c r="B11" t="s">
        <v>124</v>
      </c>
      <c r="C11" s="33">
        <v>200</v>
      </c>
      <c r="E11" s="25"/>
    </row>
    <row r="13" spans="1:3" ht="15">
      <c r="A13" t="s">
        <v>126</v>
      </c>
      <c r="B13" s="50">
        <v>0.5</v>
      </c>
      <c r="C13" s="43">
        <f>C8*B13</f>
        <v>26</v>
      </c>
    </row>
    <row r="16" spans="1:3" ht="15">
      <c r="A16" t="s">
        <v>127</v>
      </c>
      <c r="C16" s="39">
        <f>Employment!C16</f>
        <v>362318840.5797101</v>
      </c>
    </row>
    <row r="17" spans="1:3" ht="15">
      <c r="A17" t="s">
        <v>128</v>
      </c>
      <c r="B17" s="38">
        <v>0.1</v>
      </c>
      <c r="C17" s="46">
        <f>C16*B17</f>
        <v>36231884.057971016</v>
      </c>
    </row>
    <row r="18" spans="1:3" ht="15">
      <c r="A18" t="s">
        <v>129</v>
      </c>
      <c r="C18" s="46">
        <f>C16+C17</f>
        <v>398550724.6376811</v>
      </c>
    </row>
    <row r="20" spans="1:3" ht="15">
      <c r="A20" t="s">
        <v>130</v>
      </c>
      <c r="B20" t="s">
        <v>34</v>
      </c>
      <c r="C20" s="46">
        <f>C18/C10</f>
        <v>996376.8115942028</v>
      </c>
    </row>
    <row r="21" spans="1:3" ht="15">
      <c r="A21" t="s">
        <v>131</v>
      </c>
      <c r="B21" t="s">
        <v>34</v>
      </c>
      <c r="C21" s="51">
        <f>C20*C13</f>
        <v>25905797.101449274</v>
      </c>
    </row>
    <row r="23" spans="1:3" ht="15">
      <c r="A23" t="s">
        <v>132</v>
      </c>
      <c r="B23" t="s">
        <v>34</v>
      </c>
      <c r="C23" s="46">
        <f>C18/C11</f>
        <v>1992753.6231884055</v>
      </c>
    </row>
    <row r="24" spans="1:3" ht="15">
      <c r="A24" t="s">
        <v>133</v>
      </c>
      <c r="B24" t="s">
        <v>34</v>
      </c>
      <c r="C24" s="51">
        <f>(C8-C13)*C23</f>
        <v>51811594.20289855</v>
      </c>
    </row>
    <row r="26" spans="1:3" ht="15">
      <c r="A26" t="s">
        <v>134</v>
      </c>
      <c r="B26" t="s">
        <v>34</v>
      </c>
      <c r="C26" s="39">
        <f>C24+C21</f>
        <v>77717391.30434781</v>
      </c>
    </row>
    <row r="27" spans="1:3" ht="15">
      <c r="A27" t="s">
        <v>135</v>
      </c>
      <c r="B27" s="80">
        <v>0.15</v>
      </c>
      <c r="C27" s="39">
        <f>C26*B27</f>
        <v>11657608.695652172</v>
      </c>
    </row>
    <row r="28" spans="2:3" ht="15">
      <c r="B28" s="47"/>
      <c r="C28" s="39"/>
    </row>
    <row r="29" spans="1:5" ht="15">
      <c r="A29" s="70" t="s">
        <v>136</v>
      </c>
      <c r="B29" s="76" t="s">
        <v>34</v>
      </c>
      <c r="C29" s="77">
        <f>SUM(C26:C27)</f>
        <v>89374999.99999999</v>
      </c>
      <c r="D29" s="25"/>
      <c r="E29" s="44" t="s">
        <v>137</v>
      </c>
    </row>
  </sheetData>
  <sheetProtection selectLockedCells="1" selectUnlockedCells="1"/>
  <printOptions/>
  <pageMargins left="0.7" right="0.7" top="0.75" bottom="0.75" header="0.5118055555555555" footer="0.5118055555555555"/>
  <pageSetup horizontalDpi="300" verticalDpi="300" orientation="portrait" paperSize="9" scale="75" r:id="rId2"/>
  <drawing r:id="rId1"/>
</worksheet>
</file>

<file path=xl/worksheets/sheet6.xml><?xml version="1.0" encoding="utf-8"?>
<worksheet xmlns="http://schemas.openxmlformats.org/spreadsheetml/2006/main" xmlns:r="http://schemas.openxmlformats.org/officeDocument/2006/relationships">
  <dimension ref="A1:H28"/>
  <sheetViews>
    <sheetView zoomScalePageLayoutView="0" workbookViewId="0" topLeftCell="A1">
      <selection activeCell="A1" sqref="A1"/>
    </sheetView>
  </sheetViews>
  <sheetFormatPr defaultColWidth="9.140625" defaultRowHeight="15"/>
  <cols>
    <col min="1" max="1" width="19.7109375" style="0" customWidth="1"/>
    <col min="2" max="2" width="66.28125" style="0" customWidth="1"/>
    <col min="4" max="4" width="12.140625" style="0" customWidth="1"/>
    <col min="7" max="7" width="10.140625" style="0" customWidth="1"/>
    <col min="8" max="8" width="12.57421875" style="0" bestFit="1" customWidth="1"/>
  </cols>
  <sheetData>
    <row r="1" spans="1:7" ht="27" customHeight="1">
      <c r="A1" s="52" t="s">
        <v>138</v>
      </c>
      <c r="B1" s="81" t="s">
        <v>176</v>
      </c>
      <c r="C1" s="52"/>
      <c r="D1" s="52"/>
      <c r="E1" s="52"/>
      <c r="F1" s="52"/>
      <c r="G1" s="52"/>
    </row>
    <row r="2" spans="1:7" ht="14.25" customHeight="1">
      <c r="A2" s="15"/>
      <c r="B2" s="15"/>
      <c r="C2" s="15"/>
      <c r="D2" s="15"/>
      <c r="E2" s="15"/>
      <c r="F2" s="15"/>
      <c r="G2" s="15"/>
    </row>
    <row r="4" ht="15">
      <c r="B4" t="s">
        <v>139</v>
      </c>
    </row>
    <row r="5" spans="2:3" ht="15.75" thickBot="1">
      <c r="B5" t="s">
        <v>38</v>
      </c>
      <c r="C5" s="26"/>
    </row>
    <row r="6" ht="15.75" thickBot="1"/>
    <row r="7" spans="2:4" ht="15.75" thickBot="1">
      <c r="B7" t="s">
        <v>173</v>
      </c>
      <c r="C7" s="83">
        <v>10000</v>
      </c>
      <c r="D7" s="25"/>
    </row>
    <row r="9" spans="2:8" ht="15">
      <c r="B9" s="27" t="s">
        <v>140</v>
      </c>
      <c r="C9" s="27" t="s">
        <v>141</v>
      </c>
      <c r="D9" s="27" t="s">
        <v>142</v>
      </c>
      <c r="E9" s="27" t="s">
        <v>143</v>
      </c>
      <c r="F9" s="27"/>
      <c r="G9" s="27" t="s">
        <v>144</v>
      </c>
      <c r="H9" s="27" t="s">
        <v>143</v>
      </c>
    </row>
    <row r="10" spans="2:8" ht="15">
      <c r="B10" t="s">
        <v>145</v>
      </c>
      <c r="C10" s="84">
        <v>1</v>
      </c>
      <c r="D10" s="53">
        <v>52000</v>
      </c>
      <c r="E10" s="24">
        <f>C10*D10</f>
        <v>52000</v>
      </c>
      <c r="F10" s="84">
        <v>1</v>
      </c>
      <c r="G10" s="53">
        <v>16000</v>
      </c>
      <c r="H10" s="24">
        <f>F10*G10</f>
        <v>16000</v>
      </c>
    </row>
    <row r="11" spans="2:8" ht="15">
      <c r="B11" t="s">
        <v>146</v>
      </c>
      <c r="C11" s="84">
        <v>1</v>
      </c>
      <c r="D11" s="53">
        <v>52000</v>
      </c>
      <c r="E11" s="24">
        <f aca="true" t="shared" si="0" ref="E11:E25">C11*D11</f>
        <v>52000</v>
      </c>
      <c r="F11" s="84">
        <v>1</v>
      </c>
      <c r="G11" s="53">
        <v>16000</v>
      </c>
      <c r="H11" s="24">
        <f aca="true" t="shared" si="1" ref="H11:H25">F11*G11</f>
        <v>16000</v>
      </c>
    </row>
    <row r="12" spans="2:8" ht="15">
      <c r="B12" t="s">
        <v>147</v>
      </c>
      <c r="C12" s="84">
        <v>0</v>
      </c>
      <c r="D12" s="53">
        <v>52000</v>
      </c>
      <c r="E12" s="24">
        <f t="shared" si="0"/>
        <v>0</v>
      </c>
      <c r="F12" s="84">
        <v>0</v>
      </c>
      <c r="G12" s="53">
        <v>16000</v>
      </c>
      <c r="H12" s="24">
        <f t="shared" si="1"/>
        <v>0</v>
      </c>
    </row>
    <row r="13" spans="2:8" ht="15">
      <c r="B13" t="s">
        <v>148</v>
      </c>
      <c r="C13" s="84">
        <v>1</v>
      </c>
      <c r="D13" s="53">
        <v>30000</v>
      </c>
      <c r="E13" s="24">
        <f t="shared" si="0"/>
        <v>30000</v>
      </c>
      <c r="F13" s="84">
        <v>1</v>
      </c>
      <c r="G13" s="53">
        <v>16000</v>
      </c>
      <c r="H13" s="24">
        <f t="shared" si="1"/>
        <v>16000</v>
      </c>
    </row>
    <row r="14" spans="2:8" ht="15">
      <c r="B14" t="s">
        <v>149</v>
      </c>
      <c r="C14" s="84">
        <v>1</v>
      </c>
      <c r="D14" s="53">
        <v>26000</v>
      </c>
      <c r="E14" s="24">
        <f t="shared" si="0"/>
        <v>26000</v>
      </c>
      <c r="F14" s="84">
        <v>1</v>
      </c>
      <c r="G14" s="53">
        <v>9000</v>
      </c>
      <c r="H14" s="24">
        <f t="shared" si="1"/>
        <v>9000</v>
      </c>
    </row>
    <row r="15" spans="2:8" ht="15">
      <c r="B15" t="s">
        <v>150</v>
      </c>
      <c r="C15" s="84">
        <v>1</v>
      </c>
      <c r="D15" s="53">
        <v>26000</v>
      </c>
      <c r="E15" s="24">
        <f t="shared" si="0"/>
        <v>26000</v>
      </c>
      <c r="F15" s="84">
        <v>1</v>
      </c>
      <c r="G15" s="53">
        <v>9000</v>
      </c>
      <c r="H15" s="24">
        <f t="shared" si="1"/>
        <v>9000</v>
      </c>
    </row>
    <row r="16" spans="2:8" ht="15">
      <c r="B16" t="s">
        <v>151</v>
      </c>
      <c r="C16" s="84">
        <v>1</v>
      </c>
      <c r="D16" s="53">
        <v>26000</v>
      </c>
      <c r="E16" s="24">
        <f t="shared" si="0"/>
        <v>26000</v>
      </c>
      <c r="F16" s="84">
        <v>0</v>
      </c>
      <c r="G16" s="53">
        <v>9000</v>
      </c>
      <c r="H16" s="24">
        <f t="shared" si="1"/>
        <v>0</v>
      </c>
    </row>
    <row r="17" spans="2:8" ht="15">
      <c r="B17" t="s">
        <v>152</v>
      </c>
      <c r="C17" s="84">
        <v>1</v>
      </c>
      <c r="D17" s="53">
        <v>52000</v>
      </c>
      <c r="E17" s="24">
        <f t="shared" si="0"/>
        <v>52000</v>
      </c>
      <c r="F17" s="84">
        <v>1</v>
      </c>
      <c r="G17" s="53">
        <v>9000</v>
      </c>
      <c r="H17" s="24">
        <f t="shared" si="1"/>
        <v>9000</v>
      </c>
    </row>
    <row r="18" spans="2:8" ht="15">
      <c r="B18" t="s">
        <v>153</v>
      </c>
      <c r="C18" s="84">
        <v>1</v>
      </c>
      <c r="D18" s="53">
        <v>52000</v>
      </c>
      <c r="E18" s="24">
        <f t="shared" si="0"/>
        <v>52000</v>
      </c>
      <c r="F18" s="84">
        <v>1</v>
      </c>
      <c r="G18" s="53">
        <v>9000</v>
      </c>
      <c r="H18" s="24">
        <f t="shared" si="1"/>
        <v>9000</v>
      </c>
    </row>
    <row r="19" spans="2:8" ht="15">
      <c r="B19" t="s">
        <v>154</v>
      </c>
      <c r="C19" s="84">
        <v>1</v>
      </c>
      <c r="D19" s="53">
        <v>26000</v>
      </c>
      <c r="E19" s="24">
        <f t="shared" si="0"/>
        <v>26000</v>
      </c>
      <c r="F19" s="84">
        <v>1</v>
      </c>
      <c r="G19" s="53">
        <v>9000</v>
      </c>
      <c r="H19" s="24">
        <f t="shared" si="1"/>
        <v>9000</v>
      </c>
    </row>
    <row r="20" spans="2:8" ht="15">
      <c r="B20" t="s">
        <v>155</v>
      </c>
      <c r="C20" s="84">
        <v>1</v>
      </c>
      <c r="D20" s="53">
        <v>26000</v>
      </c>
      <c r="E20" s="24">
        <f t="shared" si="0"/>
        <v>26000</v>
      </c>
      <c r="F20" s="84">
        <v>1</v>
      </c>
      <c r="G20" s="53">
        <v>9000</v>
      </c>
      <c r="H20" s="24">
        <f t="shared" si="1"/>
        <v>9000</v>
      </c>
    </row>
    <row r="21" spans="2:8" ht="15">
      <c r="B21" t="s">
        <v>156</v>
      </c>
      <c r="C21" s="84">
        <v>1</v>
      </c>
      <c r="D21" s="53">
        <v>26000</v>
      </c>
      <c r="E21" s="24">
        <f t="shared" si="0"/>
        <v>26000</v>
      </c>
      <c r="F21" s="84">
        <v>1</v>
      </c>
      <c r="G21" s="53">
        <v>9000</v>
      </c>
      <c r="H21" s="24">
        <f t="shared" si="1"/>
        <v>9000</v>
      </c>
    </row>
    <row r="22" spans="2:8" ht="15">
      <c r="B22" t="s">
        <v>157</v>
      </c>
      <c r="C22" s="84">
        <v>1</v>
      </c>
      <c r="D22" s="53">
        <v>26000</v>
      </c>
      <c r="E22" s="24">
        <f t="shared" si="0"/>
        <v>26000</v>
      </c>
      <c r="F22" s="84">
        <v>1</v>
      </c>
      <c r="G22" s="53">
        <v>9000</v>
      </c>
      <c r="H22" s="24">
        <f t="shared" si="1"/>
        <v>9000</v>
      </c>
    </row>
    <row r="23" spans="2:8" ht="15">
      <c r="B23" t="s">
        <v>158</v>
      </c>
      <c r="C23" s="84">
        <v>1</v>
      </c>
      <c r="D23" s="53">
        <v>26000</v>
      </c>
      <c r="E23" s="24">
        <f t="shared" si="0"/>
        <v>26000</v>
      </c>
      <c r="F23" s="84">
        <v>0</v>
      </c>
      <c r="G23" s="53">
        <v>9000</v>
      </c>
      <c r="H23" s="24">
        <f t="shared" si="1"/>
        <v>0</v>
      </c>
    </row>
    <row r="24" spans="2:8" ht="15">
      <c r="B24" t="s">
        <v>159</v>
      </c>
      <c r="C24" s="84">
        <v>0</v>
      </c>
      <c r="D24" s="53">
        <v>52000</v>
      </c>
      <c r="E24" s="24">
        <f t="shared" si="0"/>
        <v>0</v>
      </c>
      <c r="F24" s="84">
        <v>0</v>
      </c>
      <c r="G24" s="53">
        <v>9000</v>
      </c>
      <c r="H24" s="24">
        <f t="shared" si="1"/>
        <v>0</v>
      </c>
    </row>
    <row r="25" spans="2:8" ht="15">
      <c r="B25" t="s">
        <v>160</v>
      </c>
      <c r="C25" s="84">
        <v>3</v>
      </c>
      <c r="D25" s="53">
        <v>14400</v>
      </c>
      <c r="E25" s="24">
        <f t="shared" si="0"/>
        <v>43200</v>
      </c>
      <c r="F25" s="84">
        <v>2</v>
      </c>
      <c r="G25" s="53">
        <v>9000</v>
      </c>
      <c r="H25" s="24">
        <f t="shared" si="1"/>
        <v>18000</v>
      </c>
    </row>
    <row r="26" spans="2:8" ht="15">
      <c r="B26" t="s">
        <v>161</v>
      </c>
      <c r="C26" s="25">
        <f>SUM(C10:C25)</f>
        <v>16</v>
      </c>
      <c r="D26" s="25"/>
      <c r="E26" s="24">
        <f>SUM(E10:E25)</f>
        <v>489200</v>
      </c>
      <c r="F26" s="78">
        <f>SUM(F10:F25)</f>
        <v>13</v>
      </c>
      <c r="G26" s="25"/>
      <c r="H26" s="24">
        <f>SUM(H10:H25)</f>
        <v>138000</v>
      </c>
    </row>
    <row r="27" spans="2:8" ht="15">
      <c r="B27" t="s">
        <v>80</v>
      </c>
      <c r="C27" s="38">
        <v>0.15</v>
      </c>
      <c r="D27" s="25"/>
      <c r="E27" s="24">
        <f>E26*C27</f>
        <v>73380</v>
      </c>
      <c r="F27" s="38">
        <v>0.15</v>
      </c>
      <c r="G27" s="25"/>
      <c r="H27" s="24">
        <f>H26*F27</f>
        <v>20700</v>
      </c>
    </row>
    <row r="28" spans="2:8" ht="15">
      <c r="B28" s="70" t="s">
        <v>162</v>
      </c>
      <c r="C28" s="63">
        <f>C26+F26</f>
        <v>29</v>
      </c>
      <c r="D28" s="76"/>
      <c r="E28" s="79">
        <f>SUM(E26:E27)</f>
        <v>562580</v>
      </c>
      <c r="F28" s="79"/>
      <c r="G28" s="76"/>
      <c r="H28" s="79">
        <f>SUM(H26:H27)</f>
        <v>158700</v>
      </c>
    </row>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PieterHoff</dc:creator>
  <cp:keywords/>
  <dc:description/>
  <cp:lastModifiedBy>PieterHoff</cp:lastModifiedBy>
  <dcterms:created xsi:type="dcterms:W3CDTF">2013-03-22T12:14:23Z</dcterms:created>
  <dcterms:modified xsi:type="dcterms:W3CDTF">2014-12-20T16:47:13Z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